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0" yWindow="15" windowWidth="14415" windowHeight="11550" tabRatio="793" activeTab="5"/>
  </bookViews>
  <sheets>
    <sheet name="LNG Carriers" sheetId="23" r:id="rId1"/>
    <sheet name="Tankers" sheetId="13" r:id="rId2"/>
    <sheet name="Refers" sheetId="24" r:id="rId3"/>
    <sheet name="RoRo Cargo" sheetId="18" r:id="rId4"/>
    <sheet name="RoPax" sheetId="19" r:id="rId5"/>
    <sheet name="Vehicle Carriers" sheetId="20" r:id="rId6"/>
    <sheet name="Baselines" sheetId="9" state="hidden" r:id="rId7"/>
    <sheet name="Data" sheetId="25" state="hidden" r:id="rId8"/>
  </sheets>
  <definedNames>
    <definedName name="a_BC">Baselines!$F$2</definedName>
    <definedName name="a_CS">Baselines!$B$2</definedName>
    <definedName name="a_GC">Baselines!$K$2</definedName>
    <definedName name="a_GT">Baselines!$AO$2</definedName>
    <definedName name="a_LNG">Baselines!$AT$2</definedName>
    <definedName name="a_RFS">Baselines!$AY$2</definedName>
    <definedName name="a_RRC">Baselines!$U$2</definedName>
    <definedName name="a_RRC2">Baselines!$V$2</definedName>
    <definedName name="a_RRP">Baselines!$Z$2</definedName>
    <definedName name="a_RRP2">Baselines!$AA$2</definedName>
    <definedName name="a_RRV1">Baselines!$AE$2</definedName>
    <definedName name="a_RRV2">Baselines!$AJ$2</definedName>
    <definedName name="a_T">Baselines!$P$2</definedName>
    <definedName name="c_BC">Baselines!$F$3</definedName>
    <definedName name="c_CS">Baselines!$B$3</definedName>
    <definedName name="c_GC">Baselines!$K$3</definedName>
    <definedName name="c_GT">Baselines!$AO$3</definedName>
    <definedName name="c_LNG">Baselines!$AT$3</definedName>
    <definedName name="c_RFS">Baselines!$AY$3</definedName>
    <definedName name="c_RRC">Baselines!$U$3</definedName>
    <definedName name="c_RRP">Baselines!$Z$3</definedName>
    <definedName name="c_RRV">Baselines!$AE$3</definedName>
    <definedName name="c_T">Baselines!$P$3</definedName>
    <definedName name="_xlnm.Print_Titles" localSheetId="0">'LNG Carriers'!$1:$7</definedName>
    <definedName name="_xlnm.Print_Titles" localSheetId="2">Refers!$1:$7</definedName>
    <definedName name="_xlnm.Print_Titles" localSheetId="4">RoPax!$1:$7</definedName>
    <definedName name="_xlnm.Print_Titles" localSheetId="3">'RoRo Cargo'!$1:$7</definedName>
    <definedName name="_xlnm.Print_Titles" localSheetId="1">Tankers!$1:$7</definedName>
    <definedName name="_xlnm.Print_Titles" localSheetId="5">'Vehicle Carriers'!$1:$7</definedName>
  </definedNames>
  <calcPr calcId="171027"/>
  <fileRecoveryPr autoRecover="0"/>
</workbook>
</file>

<file path=xl/calcChain.xml><?xml version="1.0" encoding="utf-8"?>
<calcChain xmlns="http://schemas.openxmlformats.org/spreadsheetml/2006/main">
  <c r="AZ5" i="9" l="1"/>
  <c r="BA5" i="9"/>
  <c r="BB5" i="9"/>
  <c r="BC5" i="9"/>
  <c r="AZ6" i="9"/>
  <c r="BA6" i="9"/>
  <c r="BB6" i="9"/>
  <c r="BC6" i="9"/>
  <c r="AZ7" i="9"/>
  <c r="BA7" i="9"/>
  <c r="BB7" i="9"/>
  <c r="BC7" i="9"/>
  <c r="AZ8" i="9"/>
  <c r="BA8" i="9"/>
  <c r="BB8" i="9"/>
  <c r="BC8" i="9"/>
  <c r="AZ9" i="9"/>
  <c r="BA9" i="9"/>
  <c r="BB9" i="9"/>
  <c r="BC9" i="9"/>
  <c r="AZ10" i="9"/>
  <c r="BA10" i="9"/>
  <c r="BB10" i="9"/>
  <c r="BC10" i="9"/>
  <c r="AZ11" i="9"/>
  <c r="BA11" i="9"/>
  <c r="BB11" i="9"/>
  <c r="BC11" i="9"/>
  <c r="AZ12" i="9"/>
  <c r="BA12" i="9"/>
  <c r="BB12" i="9"/>
  <c r="BC12" i="9"/>
  <c r="AZ13" i="9"/>
  <c r="BA13" i="9"/>
  <c r="BB13" i="9"/>
  <c r="BC13" i="9"/>
  <c r="AZ14" i="9"/>
  <c r="BA14" i="9"/>
  <c r="BB14" i="9"/>
  <c r="BC14" i="9"/>
  <c r="AZ15" i="9"/>
  <c r="BA15" i="9"/>
  <c r="BB15" i="9"/>
  <c r="BC15" i="9"/>
  <c r="AZ16" i="9"/>
  <c r="BA16" i="9"/>
  <c r="BB16" i="9"/>
  <c r="BC16" i="9"/>
  <c r="AZ17" i="9"/>
  <c r="BA17" i="9"/>
  <c r="BB17" i="9"/>
  <c r="BC17" i="9"/>
  <c r="AZ18" i="9"/>
  <c r="BA18" i="9"/>
  <c r="BB18" i="9"/>
  <c r="BC18" i="9"/>
  <c r="AZ19" i="9"/>
  <c r="BA19" i="9"/>
  <c r="BB19" i="9"/>
  <c r="BC19" i="9"/>
  <c r="AZ20" i="9"/>
  <c r="BA20" i="9"/>
  <c r="BB20" i="9"/>
  <c r="BC20" i="9"/>
  <c r="AZ21" i="9"/>
  <c r="BA21" i="9"/>
  <c r="BB21" i="9"/>
  <c r="BC21" i="9"/>
  <c r="AZ22" i="9"/>
  <c r="BA22" i="9"/>
  <c r="BB22" i="9"/>
  <c r="BC22" i="9"/>
  <c r="AZ23" i="9"/>
  <c r="BA23" i="9"/>
  <c r="BB23" i="9"/>
  <c r="BC23" i="9"/>
  <c r="AZ24" i="9"/>
  <c r="BA24" i="9"/>
  <c r="BB24" i="9"/>
  <c r="BC24" i="9"/>
  <c r="AZ25" i="9"/>
  <c r="BA25" i="9"/>
  <c r="BB25" i="9"/>
  <c r="BC25" i="9"/>
  <c r="AZ26" i="9"/>
  <c r="BA26" i="9"/>
  <c r="BB26" i="9"/>
  <c r="BC26" i="9"/>
  <c r="AZ27" i="9"/>
  <c r="BA27" i="9"/>
  <c r="BB27" i="9"/>
  <c r="BC27" i="9"/>
  <c r="AZ28" i="9"/>
  <c r="BA28" i="9"/>
  <c r="BB28" i="9"/>
  <c r="BC28" i="9"/>
  <c r="AZ29" i="9"/>
  <c r="BA29" i="9"/>
  <c r="BB29" i="9"/>
  <c r="BC29" i="9"/>
  <c r="AZ30" i="9"/>
  <c r="BA30" i="9"/>
  <c r="BB30" i="9"/>
  <c r="BC30" i="9"/>
  <c r="AZ31" i="9"/>
  <c r="BA31" i="9"/>
  <c r="BB31" i="9"/>
  <c r="BC31" i="9"/>
  <c r="AZ32" i="9"/>
  <c r="BA32" i="9"/>
  <c r="BB32" i="9"/>
  <c r="BC32" i="9"/>
  <c r="AZ33" i="9"/>
  <c r="BA33" i="9"/>
  <c r="BB33" i="9"/>
  <c r="BC33" i="9"/>
  <c r="AZ34" i="9"/>
  <c r="BA34" i="9"/>
  <c r="BB34" i="9"/>
  <c r="BC34" i="9"/>
  <c r="AZ35" i="9"/>
  <c r="BA35" i="9"/>
  <c r="BB35" i="9"/>
  <c r="BC35" i="9"/>
  <c r="AZ36" i="9"/>
  <c r="BA36" i="9"/>
  <c r="BB36" i="9"/>
  <c r="BC36" i="9"/>
  <c r="AZ37" i="9"/>
  <c r="BA37" i="9"/>
  <c r="BB37" i="9"/>
  <c r="BC37" i="9"/>
  <c r="AZ38" i="9"/>
  <c r="BA38" i="9"/>
  <c r="BB38" i="9"/>
  <c r="BC38" i="9"/>
  <c r="AZ39" i="9"/>
  <c r="BA39" i="9"/>
  <c r="BB39" i="9"/>
  <c r="BC39" i="9"/>
  <c r="AZ40" i="9"/>
  <c r="BA40" i="9"/>
  <c r="BB40" i="9"/>
  <c r="BC40" i="9"/>
  <c r="AZ41" i="9"/>
  <c r="BA41" i="9"/>
  <c r="BB41" i="9"/>
  <c r="BC41" i="9"/>
  <c r="AZ42" i="9"/>
  <c r="BA42" i="9"/>
  <c r="BB42" i="9"/>
  <c r="BC42" i="9"/>
  <c r="AZ43" i="9"/>
  <c r="BA43" i="9"/>
  <c r="BB43" i="9"/>
  <c r="BC43" i="9"/>
  <c r="AZ44" i="9"/>
  <c r="BA44" i="9"/>
  <c r="BB44" i="9"/>
  <c r="BC44" i="9"/>
  <c r="AU6" i="9"/>
  <c r="AU7" i="9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42" i="9"/>
  <c r="AU43" i="9"/>
  <c r="AU44" i="9"/>
  <c r="AU45" i="9"/>
  <c r="AU46" i="9"/>
  <c r="AU47" i="9"/>
  <c r="AU48" i="9"/>
  <c r="AU49" i="9"/>
  <c r="AU50" i="9"/>
  <c r="AU51" i="9"/>
  <c r="AU5" i="9"/>
  <c r="Q6" i="9"/>
  <c r="R6" i="9"/>
  <c r="S6" i="9"/>
  <c r="T6" i="9"/>
  <c r="Q7" i="9"/>
  <c r="R7" i="9"/>
  <c r="S7" i="9"/>
  <c r="T7" i="9"/>
  <c r="Q8" i="9"/>
  <c r="R8" i="9"/>
  <c r="S8" i="9"/>
  <c r="T8" i="9"/>
  <c r="Q9" i="9"/>
  <c r="R9" i="9"/>
  <c r="S9" i="9"/>
  <c r="T9" i="9"/>
  <c r="Q10" i="9"/>
  <c r="R10" i="9"/>
  <c r="S10" i="9"/>
  <c r="T10" i="9"/>
  <c r="Q11" i="9"/>
  <c r="R11" i="9"/>
  <c r="S11" i="9"/>
  <c r="T11" i="9"/>
  <c r="Q12" i="9"/>
  <c r="R12" i="9"/>
  <c r="S12" i="9"/>
  <c r="T12" i="9"/>
  <c r="Q13" i="9"/>
  <c r="R13" i="9"/>
  <c r="S13" i="9"/>
  <c r="T13" i="9"/>
  <c r="Q14" i="9"/>
  <c r="R14" i="9"/>
  <c r="S14" i="9"/>
  <c r="T14" i="9"/>
  <c r="Q15" i="9"/>
  <c r="R15" i="9"/>
  <c r="S15" i="9"/>
  <c r="T15" i="9"/>
  <c r="Q16" i="9"/>
  <c r="R16" i="9"/>
  <c r="S16" i="9"/>
  <c r="T16" i="9"/>
  <c r="Q17" i="9"/>
  <c r="R17" i="9"/>
  <c r="S17" i="9"/>
  <c r="T17" i="9"/>
  <c r="Q18" i="9"/>
  <c r="R18" i="9"/>
  <c r="S18" i="9"/>
  <c r="T18" i="9"/>
  <c r="Q19" i="9"/>
  <c r="R19" i="9"/>
  <c r="S19" i="9"/>
  <c r="T19" i="9"/>
  <c r="Q20" i="9"/>
  <c r="R20" i="9"/>
  <c r="S20" i="9"/>
  <c r="T20" i="9"/>
  <c r="Q21" i="9"/>
  <c r="R21" i="9"/>
  <c r="S21" i="9"/>
  <c r="T21" i="9"/>
  <c r="Q22" i="9"/>
  <c r="R22" i="9"/>
  <c r="S22" i="9"/>
  <c r="T22" i="9"/>
  <c r="Q23" i="9"/>
  <c r="R23" i="9"/>
  <c r="S23" i="9"/>
  <c r="T23" i="9"/>
  <c r="Q24" i="9"/>
  <c r="R24" i="9"/>
  <c r="S24" i="9"/>
  <c r="T24" i="9"/>
  <c r="Q25" i="9"/>
  <c r="R25" i="9"/>
  <c r="S25" i="9"/>
  <c r="T25" i="9"/>
  <c r="Q26" i="9"/>
  <c r="R26" i="9"/>
  <c r="S26" i="9"/>
  <c r="T26" i="9"/>
  <c r="Q27" i="9"/>
  <c r="R27" i="9"/>
  <c r="S27" i="9"/>
  <c r="T27" i="9"/>
  <c r="Q28" i="9"/>
  <c r="R28" i="9"/>
  <c r="S28" i="9"/>
  <c r="T28" i="9"/>
  <c r="Q29" i="9"/>
  <c r="R29" i="9"/>
  <c r="S29" i="9"/>
  <c r="T29" i="9"/>
  <c r="Q30" i="9"/>
  <c r="R30" i="9"/>
  <c r="S30" i="9"/>
  <c r="T30" i="9"/>
  <c r="Q31" i="9"/>
  <c r="R31" i="9"/>
  <c r="S31" i="9"/>
  <c r="T31" i="9"/>
  <c r="Q32" i="9"/>
  <c r="R32" i="9"/>
  <c r="S32" i="9"/>
  <c r="T32" i="9"/>
  <c r="Q33" i="9"/>
  <c r="R33" i="9"/>
  <c r="S33" i="9"/>
  <c r="T33" i="9"/>
  <c r="Q34" i="9"/>
  <c r="R34" i="9"/>
  <c r="S34" i="9"/>
  <c r="T34" i="9"/>
  <c r="Q35" i="9"/>
  <c r="R35" i="9"/>
  <c r="S35" i="9"/>
  <c r="T35" i="9"/>
  <c r="Q36" i="9"/>
  <c r="R36" i="9"/>
  <c r="S36" i="9"/>
  <c r="T36" i="9"/>
  <c r="Q37" i="9"/>
  <c r="R37" i="9"/>
  <c r="S37" i="9"/>
  <c r="T37" i="9"/>
  <c r="Q38" i="9"/>
  <c r="R38" i="9"/>
  <c r="S38" i="9"/>
  <c r="T38" i="9"/>
  <c r="Q39" i="9"/>
  <c r="R39" i="9"/>
  <c r="S39" i="9"/>
  <c r="T39" i="9"/>
  <c r="Q40" i="9"/>
  <c r="R40" i="9"/>
  <c r="S40" i="9"/>
  <c r="T40" i="9"/>
  <c r="Q41" i="9"/>
  <c r="R41" i="9"/>
  <c r="S41" i="9"/>
  <c r="T41" i="9"/>
  <c r="Q42" i="9"/>
  <c r="R42" i="9"/>
  <c r="S42" i="9"/>
  <c r="T42" i="9"/>
  <c r="Q43" i="9"/>
  <c r="R43" i="9"/>
  <c r="S43" i="9"/>
  <c r="T43" i="9"/>
  <c r="Q44" i="9"/>
  <c r="R44" i="9"/>
  <c r="S44" i="9"/>
  <c r="T44" i="9"/>
  <c r="Q45" i="9"/>
  <c r="R45" i="9"/>
  <c r="S45" i="9"/>
  <c r="T45" i="9"/>
  <c r="Q46" i="9"/>
  <c r="R46" i="9"/>
  <c r="S46" i="9"/>
  <c r="T46" i="9"/>
  <c r="Q47" i="9"/>
  <c r="R47" i="9"/>
  <c r="S47" i="9"/>
  <c r="T47" i="9"/>
  <c r="Q48" i="9"/>
  <c r="R48" i="9"/>
  <c r="S48" i="9"/>
  <c r="T48" i="9"/>
  <c r="Q49" i="9"/>
  <c r="R49" i="9"/>
  <c r="S49" i="9"/>
  <c r="T49" i="9"/>
  <c r="Q50" i="9"/>
  <c r="R50" i="9"/>
  <c r="S50" i="9"/>
  <c r="T50" i="9"/>
  <c r="Q51" i="9"/>
  <c r="R51" i="9"/>
  <c r="S51" i="9"/>
  <c r="T51" i="9"/>
  <c r="T5" i="9"/>
  <c r="S5" i="9"/>
  <c r="R5" i="9"/>
  <c r="Q5" i="9"/>
  <c r="Q2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4" i="9"/>
  <c r="AK35" i="9"/>
  <c r="AK36" i="9"/>
  <c r="AK37" i="9"/>
  <c r="AK38" i="9"/>
  <c r="AK39" i="9"/>
  <c r="AK40" i="9"/>
  <c r="AK41" i="9"/>
  <c r="AK42" i="9"/>
  <c r="AK43" i="9"/>
  <c r="AK44" i="9"/>
  <c r="AK45" i="9"/>
  <c r="AK46" i="9"/>
  <c r="AK47" i="9"/>
  <c r="AK48" i="9"/>
  <c r="AK49" i="9"/>
  <c r="AK50" i="9"/>
  <c r="AK51" i="9"/>
  <c r="AK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" i="9"/>
  <c r="AA6" i="9"/>
  <c r="AB6" i="9"/>
  <c r="AC6" i="9"/>
  <c r="AD6" i="9"/>
  <c r="AA7" i="9"/>
  <c r="AB7" i="9"/>
  <c r="AC7" i="9"/>
  <c r="AD7" i="9"/>
  <c r="AA8" i="9"/>
  <c r="AB8" i="9"/>
  <c r="AC8" i="9"/>
  <c r="AD8" i="9"/>
  <c r="AA9" i="9"/>
  <c r="AB9" i="9"/>
  <c r="AC9" i="9"/>
  <c r="AD9" i="9"/>
  <c r="AA10" i="9"/>
  <c r="AB10" i="9"/>
  <c r="AC10" i="9"/>
  <c r="AD10" i="9"/>
  <c r="AA11" i="9"/>
  <c r="AB11" i="9"/>
  <c r="AC11" i="9"/>
  <c r="AD11" i="9"/>
  <c r="AA12" i="9"/>
  <c r="AB12" i="9"/>
  <c r="AC12" i="9"/>
  <c r="AD12" i="9"/>
  <c r="AA13" i="9"/>
  <c r="AB13" i="9"/>
  <c r="AC13" i="9"/>
  <c r="AD13" i="9"/>
  <c r="AA14" i="9"/>
  <c r="AB14" i="9"/>
  <c r="AC14" i="9"/>
  <c r="AD14" i="9"/>
  <c r="AA15" i="9"/>
  <c r="AB15" i="9"/>
  <c r="AC15" i="9"/>
  <c r="AD15" i="9"/>
  <c r="AA16" i="9"/>
  <c r="AB16" i="9"/>
  <c r="AC16" i="9"/>
  <c r="AD16" i="9"/>
  <c r="AA17" i="9"/>
  <c r="AB17" i="9"/>
  <c r="AC17" i="9"/>
  <c r="AD17" i="9"/>
  <c r="AA18" i="9"/>
  <c r="AB18" i="9"/>
  <c r="AC18" i="9"/>
  <c r="AD18" i="9"/>
  <c r="AA19" i="9"/>
  <c r="AB19" i="9"/>
  <c r="AC19" i="9"/>
  <c r="AD19" i="9"/>
  <c r="AA20" i="9"/>
  <c r="AB20" i="9"/>
  <c r="AC20" i="9"/>
  <c r="AD20" i="9"/>
  <c r="AA21" i="9"/>
  <c r="AB21" i="9"/>
  <c r="AC21" i="9"/>
  <c r="AD21" i="9"/>
  <c r="AA22" i="9"/>
  <c r="AB22" i="9"/>
  <c r="AC22" i="9"/>
  <c r="AD22" i="9"/>
  <c r="AA23" i="9"/>
  <c r="AB23" i="9"/>
  <c r="AC23" i="9"/>
  <c r="AD23" i="9"/>
  <c r="AA24" i="9"/>
  <c r="AB24" i="9"/>
  <c r="AC24" i="9"/>
  <c r="AD24" i="9"/>
  <c r="AA25" i="9"/>
  <c r="AB25" i="9"/>
  <c r="AC25" i="9"/>
  <c r="AD25" i="9"/>
  <c r="AA26" i="9"/>
  <c r="AB26" i="9"/>
  <c r="AC26" i="9"/>
  <c r="AD26" i="9"/>
  <c r="AA27" i="9"/>
  <c r="AB27" i="9"/>
  <c r="AC27" i="9"/>
  <c r="AD27" i="9"/>
  <c r="AA28" i="9"/>
  <c r="AB28" i="9"/>
  <c r="AC28" i="9"/>
  <c r="AD28" i="9"/>
  <c r="AA29" i="9"/>
  <c r="AB29" i="9"/>
  <c r="AC29" i="9"/>
  <c r="AD29" i="9"/>
  <c r="AA30" i="9"/>
  <c r="AB30" i="9"/>
  <c r="AC30" i="9"/>
  <c r="AD30" i="9"/>
  <c r="AA31" i="9"/>
  <c r="AB31" i="9"/>
  <c r="AC31" i="9"/>
  <c r="AD31" i="9"/>
  <c r="AA32" i="9"/>
  <c r="AB32" i="9"/>
  <c r="AC32" i="9"/>
  <c r="AD32" i="9"/>
  <c r="AA33" i="9"/>
  <c r="AB33" i="9"/>
  <c r="AC33" i="9"/>
  <c r="AD33" i="9"/>
  <c r="AA34" i="9"/>
  <c r="AB34" i="9"/>
  <c r="AC34" i="9"/>
  <c r="AD34" i="9"/>
  <c r="AA35" i="9"/>
  <c r="AB35" i="9"/>
  <c r="AC35" i="9"/>
  <c r="AD35" i="9"/>
  <c r="AA36" i="9"/>
  <c r="AB36" i="9"/>
  <c r="AC36" i="9"/>
  <c r="AD36" i="9"/>
  <c r="AA37" i="9"/>
  <c r="AB37" i="9"/>
  <c r="AC37" i="9"/>
  <c r="AD37" i="9"/>
  <c r="AA38" i="9"/>
  <c r="AB38" i="9"/>
  <c r="AC38" i="9"/>
  <c r="AD38" i="9"/>
  <c r="AA39" i="9"/>
  <c r="AB39" i="9"/>
  <c r="AC39" i="9"/>
  <c r="AD39" i="9"/>
  <c r="AA40" i="9"/>
  <c r="AB40" i="9"/>
  <c r="AC40" i="9"/>
  <c r="AD40" i="9"/>
  <c r="AA41" i="9"/>
  <c r="AB41" i="9"/>
  <c r="AC41" i="9"/>
  <c r="AD41" i="9"/>
  <c r="AA42" i="9"/>
  <c r="AB42" i="9"/>
  <c r="AC42" i="9"/>
  <c r="AD42" i="9"/>
  <c r="AA43" i="9"/>
  <c r="AB43" i="9"/>
  <c r="AC43" i="9"/>
  <c r="AD43" i="9"/>
  <c r="AA44" i="9"/>
  <c r="AB44" i="9"/>
  <c r="AC44" i="9"/>
  <c r="AD44" i="9"/>
  <c r="AA45" i="9"/>
  <c r="AB45" i="9"/>
  <c r="AC45" i="9"/>
  <c r="AD45" i="9"/>
  <c r="AA46" i="9"/>
  <c r="AB46" i="9"/>
  <c r="AC46" i="9"/>
  <c r="AD46" i="9"/>
  <c r="AA47" i="9"/>
  <c r="AB47" i="9"/>
  <c r="AC47" i="9"/>
  <c r="AD47" i="9"/>
  <c r="AA48" i="9"/>
  <c r="AB48" i="9"/>
  <c r="AC48" i="9"/>
  <c r="AD48" i="9"/>
  <c r="AA49" i="9"/>
  <c r="AB49" i="9"/>
  <c r="AC49" i="9"/>
  <c r="AD49" i="9"/>
  <c r="AA50" i="9"/>
  <c r="AB50" i="9"/>
  <c r="AC50" i="9"/>
  <c r="AD50" i="9"/>
  <c r="AA51" i="9"/>
  <c r="AB51" i="9"/>
  <c r="AC51" i="9"/>
  <c r="AD51" i="9"/>
  <c r="AD5" i="9"/>
  <c r="AC5" i="9"/>
  <c r="AB5" i="9"/>
  <c r="AA5" i="9"/>
  <c r="V6" i="9"/>
  <c r="W6" i="9"/>
  <c r="X6" i="9"/>
  <c r="Y6" i="9"/>
  <c r="V7" i="9"/>
  <c r="W7" i="9"/>
  <c r="X7" i="9"/>
  <c r="Y7" i="9"/>
  <c r="V8" i="9"/>
  <c r="W8" i="9"/>
  <c r="X8" i="9"/>
  <c r="Y8" i="9"/>
  <c r="V9" i="9"/>
  <c r="W9" i="9"/>
  <c r="X9" i="9"/>
  <c r="Y9" i="9"/>
  <c r="V10" i="9"/>
  <c r="W10" i="9"/>
  <c r="X10" i="9"/>
  <c r="Y10" i="9"/>
  <c r="V11" i="9"/>
  <c r="W11" i="9"/>
  <c r="X11" i="9"/>
  <c r="Y11" i="9"/>
  <c r="V12" i="9"/>
  <c r="W12" i="9"/>
  <c r="X12" i="9"/>
  <c r="Y12" i="9"/>
  <c r="V13" i="9"/>
  <c r="W13" i="9"/>
  <c r="X13" i="9"/>
  <c r="Y13" i="9"/>
  <c r="V14" i="9"/>
  <c r="W14" i="9"/>
  <c r="X14" i="9"/>
  <c r="Y14" i="9"/>
  <c r="V15" i="9"/>
  <c r="W15" i="9"/>
  <c r="X15" i="9"/>
  <c r="Y15" i="9"/>
  <c r="V16" i="9"/>
  <c r="W16" i="9"/>
  <c r="X16" i="9"/>
  <c r="Y16" i="9"/>
  <c r="V17" i="9"/>
  <c r="W17" i="9"/>
  <c r="X17" i="9"/>
  <c r="Y17" i="9"/>
  <c r="V18" i="9"/>
  <c r="W18" i="9"/>
  <c r="X18" i="9"/>
  <c r="Y18" i="9"/>
  <c r="V19" i="9"/>
  <c r="W19" i="9"/>
  <c r="X19" i="9"/>
  <c r="Y19" i="9"/>
  <c r="V20" i="9"/>
  <c r="W20" i="9"/>
  <c r="X20" i="9"/>
  <c r="Y20" i="9"/>
  <c r="V21" i="9"/>
  <c r="W21" i="9"/>
  <c r="X21" i="9"/>
  <c r="Y21" i="9"/>
  <c r="V22" i="9"/>
  <c r="W22" i="9"/>
  <c r="X22" i="9"/>
  <c r="Y22" i="9"/>
  <c r="V23" i="9"/>
  <c r="W23" i="9"/>
  <c r="X23" i="9"/>
  <c r="Y23" i="9"/>
  <c r="V24" i="9"/>
  <c r="W24" i="9"/>
  <c r="X24" i="9"/>
  <c r="Y24" i="9"/>
  <c r="V25" i="9"/>
  <c r="W25" i="9"/>
  <c r="X25" i="9"/>
  <c r="Y25" i="9"/>
  <c r="V26" i="9"/>
  <c r="W26" i="9"/>
  <c r="X26" i="9"/>
  <c r="Y26" i="9"/>
  <c r="V27" i="9"/>
  <c r="W27" i="9"/>
  <c r="X27" i="9"/>
  <c r="Y27" i="9"/>
  <c r="V28" i="9"/>
  <c r="W28" i="9"/>
  <c r="X28" i="9"/>
  <c r="Y28" i="9"/>
  <c r="V29" i="9"/>
  <c r="W29" i="9"/>
  <c r="X29" i="9"/>
  <c r="Y29" i="9"/>
  <c r="V30" i="9"/>
  <c r="W30" i="9"/>
  <c r="X30" i="9"/>
  <c r="Y30" i="9"/>
  <c r="V31" i="9"/>
  <c r="W31" i="9"/>
  <c r="X31" i="9"/>
  <c r="Y31" i="9"/>
  <c r="V32" i="9"/>
  <c r="W32" i="9"/>
  <c r="X32" i="9"/>
  <c r="Y32" i="9"/>
  <c r="V33" i="9"/>
  <c r="W33" i="9"/>
  <c r="X33" i="9"/>
  <c r="Y33" i="9"/>
  <c r="V34" i="9"/>
  <c r="W34" i="9"/>
  <c r="X34" i="9"/>
  <c r="Y34" i="9"/>
  <c r="V35" i="9"/>
  <c r="W35" i="9"/>
  <c r="X35" i="9"/>
  <c r="Y35" i="9"/>
  <c r="V36" i="9"/>
  <c r="W36" i="9"/>
  <c r="X36" i="9"/>
  <c r="Y36" i="9"/>
  <c r="V37" i="9"/>
  <c r="W37" i="9"/>
  <c r="X37" i="9"/>
  <c r="Y37" i="9"/>
  <c r="V38" i="9"/>
  <c r="W38" i="9"/>
  <c r="X38" i="9"/>
  <c r="Y38" i="9"/>
  <c r="V39" i="9"/>
  <c r="W39" i="9"/>
  <c r="X39" i="9"/>
  <c r="Y39" i="9"/>
  <c r="V40" i="9"/>
  <c r="W40" i="9"/>
  <c r="X40" i="9"/>
  <c r="Y40" i="9"/>
  <c r="V41" i="9"/>
  <c r="W41" i="9"/>
  <c r="X41" i="9"/>
  <c r="Y41" i="9"/>
  <c r="V42" i="9"/>
  <c r="W42" i="9"/>
  <c r="X42" i="9"/>
  <c r="Y42" i="9"/>
  <c r="V43" i="9"/>
  <c r="W43" i="9"/>
  <c r="X43" i="9"/>
  <c r="Y43" i="9"/>
  <c r="V44" i="9"/>
  <c r="W44" i="9"/>
  <c r="X44" i="9"/>
  <c r="Y44" i="9"/>
  <c r="V45" i="9"/>
  <c r="W45" i="9"/>
  <c r="X45" i="9"/>
  <c r="Y45" i="9"/>
  <c r="V46" i="9"/>
  <c r="W46" i="9"/>
  <c r="X46" i="9"/>
  <c r="Y46" i="9"/>
  <c r="V47" i="9"/>
  <c r="W47" i="9"/>
  <c r="X47" i="9"/>
  <c r="Y47" i="9"/>
  <c r="V48" i="9"/>
  <c r="W48" i="9"/>
  <c r="X48" i="9"/>
  <c r="Y48" i="9"/>
  <c r="V49" i="9"/>
  <c r="W49" i="9"/>
  <c r="X49" i="9"/>
  <c r="Y49" i="9"/>
  <c r="V50" i="9"/>
  <c r="W50" i="9"/>
  <c r="X50" i="9"/>
  <c r="Y50" i="9"/>
  <c r="V51" i="9"/>
  <c r="W51" i="9"/>
  <c r="X51" i="9"/>
  <c r="Y51" i="9"/>
  <c r="Y5" i="9"/>
  <c r="X5" i="9"/>
  <c r="W5" i="9"/>
  <c r="V5" i="9"/>
  <c r="E42" i="23"/>
  <c r="F42" i="23"/>
  <c r="D42" i="23"/>
  <c r="C5" i="20" l="1"/>
  <c r="C3" i="20"/>
  <c r="C5" i="19"/>
  <c r="C3" i="19"/>
  <c r="C5" i="18"/>
  <c r="C3" i="18"/>
  <c r="C5" i="24"/>
  <c r="C3" i="24"/>
  <c r="C5" i="13"/>
  <c r="C3" i="13"/>
  <c r="C3" i="23"/>
  <c r="C5" i="23" l="1"/>
  <c r="C34" i="13"/>
  <c r="E34" i="13" s="1"/>
  <c r="C42" i="23"/>
  <c r="B44" i="23"/>
  <c r="D35" i="13"/>
  <c r="B36" i="13"/>
  <c r="E27" i="24"/>
  <c r="F27" i="24"/>
  <c r="F26" i="24"/>
  <c r="F28" i="24" s="1"/>
  <c r="C26" i="24"/>
  <c r="D26" i="24" s="1"/>
  <c r="B28" i="24"/>
  <c r="E26" i="24" l="1"/>
  <c r="E28" i="24" s="1"/>
  <c r="E44" i="23"/>
  <c r="F44" i="23"/>
  <c r="D44" i="23"/>
  <c r="D34" i="13"/>
  <c r="D36" i="13" s="1"/>
  <c r="F34" i="13"/>
  <c r="E30" i="18" l="1"/>
  <c r="D23" i="18"/>
  <c r="D30" i="18" s="1"/>
  <c r="C29" i="18"/>
  <c r="B31" i="18"/>
  <c r="C31" i="19"/>
  <c r="E31" i="19" l="1"/>
  <c r="F31" i="19"/>
  <c r="D31" i="19"/>
  <c r="E29" i="18"/>
  <c r="E31" i="18" s="1"/>
  <c r="F29" i="18"/>
  <c r="D29" i="18"/>
  <c r="D31" i="18" s="1"/>
  <c r="B33" i="19" l="1"/>
  <c r="C27" i="20"/>
  <c r="D27" i="20" s="1"/>
  <c r="B29" i="20"/>
  <c r="E19" i="18"/>
  <c r="D19" i="18"/>
  <c r="D27" i="24"/>
  <c r="D28" i="24" s="1"/>
  <c r="E17" i="24"/>
  <c r="F17" i="24"/>
  <c r="D17" i="24"/>
  <c r="E17" i="13"/>
  <c r="F17" i="13"/>
  <c r="D17" i="13"/>
  <c r="F43" i="23"/>
  <c r="D43" i="23"/>
  <c r="E33" i="23"/>
  <c r="F33" i="23"/>
  <c r="D33" i="23"/>
  <c r="E20" i="19"/>
  <c r="F20" i="19"/>
  <c r="D20" i="19"/>
  <c r="E28" i="20"/>
  <c r="E19" i="20"/>
  <c r="E18" i="20"/>
  <c r="F18" i="20"/>
  <c r="F19" i="20" s="1"/>
  <c r="F28" i="20" s="1"/>
  <c r="F27" i="20" l="1"/>
  <c r="E27" i="20"/>
  <c r="E14" i="20"/>
  <c r="F14" i="20"/>
  <c r="D14" i="20"/>
  <c r="AM9" i="9"/>
  <c r="AM10" i="9"/>
  <c r="AM11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5" i="9"/>
  <c r="AM46" i="9"/>
  <c r="AM47" i="9"/>
  <c r="AM48" i="9"/>
  <c r="AM49" i="9"/>
  <c r="AM50" i="9"/>
  <c r="AM51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5" i="9"/>
  <c r="AH46" i="9"/>
  <c r="AH47" i="9"/>
  <c r="AH48" i="9"/>
  <c r="AH49" i="9"/>
  <c r="AH50" i="9"/>
  <c r="AH51" i="9"/>
  <c r="E11" i="24" l="1"/>
  <c r="F16" i="24"/>
  <c r="F18" i="24" s="1"/>
  <c r="E16" i="24"/>
  <c r="E18" i="24" s="1"/>
  <c r="D16" i="24"/>
  <c r="D18" i="24" s="1"/>
  <c r="F34" i="23" l="1"/>
  <c r="D30" i="23"/>
  <c r="D32" i="23"/>
  <c r="D34" i="23" s="1"/>
  <c r="E30" i="23"/>
  <c r="E32" i="23" s="1"/>
  <c r="E34" i="23" s="1"/>
  <c r="E43" i="23" s="1"/>
  <c r="AX47" i="9"/>
  <c r="AV45" i="9"/>
  <c r="AV43" i="9"/>
  <c r="AX43" i="9"/>
  <c r="AV42" i="9"/>
  <c r="AX42" i="9"/>
  <c r="AW42" i="9"/>
  <c r="AX41" i="9"/>
  <c r="AW41" i="9"/>
  <c r="AV41" i="9"/>
  <c r="AV40" i="9"/>
  <c r="AW40" i="9"/>
  <c r="AX37" i="9"/>
  <c r="AW37" i="9"/>
  <c r="AV36" i="9"/>
  <c r="AX36" i="9"/>
  <c r="AW36" i="9"/>
  <c r="AX35" i="9"/>
  <c r="AW35" i="9"/>
  <c r="AV35" i="9"/>
  <c r="AV34" i="9"/>
  <c r="AW34" i="9"/>
  <c r="AV32" i="9"/>
  <c r="AW32" i="9"/>
  <c r="AX31" i="9"/>
  <c r="AV30" i="9"/>
  <c r="AX30" i="9"/>
  <c r="AW30" i="9"/>
  <c r="AV29" i="9"/>
  <c r="AW29" i="9"/>
  <c r="AW27" i="9"/>
  <c r="AX27" i="9"/>
  <c r="AV26" i="9"/>
  <c r="AW26" i="9"/>
  <c r="AV24" i="9"/>
  <c r="AX24" i="9"/>
  <c r="AV23" i="9"/>
  <c r="AX23" i="9"/>
  <c r="AW23" i="9"/>
  <c r="AV22" i="9"/>
  <c r="AX22" i="9"/>
  <c r="AW22" i="9"/>
  <c r="AX21" i="9"/>
  <c r="AW21" i="9"/>
  <c r="AV21" i="9"/>
  <c r="AW19" i="9"/>
  <c r="AX19" i="9"/>
  <c r="AV18" i="9"/>
  <c r="AX18" i="9"/>
  <c r="AV16" i="9"/>
  <c r="AX16" i="9"/>
  <c r="AX15" i="9"/>
  <c r="AV13" i="9"/>
  <c r="AX13" i="9"/>
  <c r="AV12" i="9"/>
  <c r="AX12" i="9"/>
  <c r="AW12" i="9"/>
  <c r="AX11" i="9"/>
  <c r="AV10" i="9"/>
  <c r="AX10" i="9"/>
  <c r="AW10" i="9"/>
  <c r="AW9" i="9"/>
  <c r="AX9" i="9"/>
  <c r="AV8" i="9"/>
  <c r="AX8" i="9"/>
  <c r="AV7" i="9"/>
  <c r="AX7" i="9"/>
  <c r="AW7" i="9"/>
  <c r="AV6" i="9"/>
  <c r="AX6" i="9"/>
  <c r="AW6" i="9"/>
  <c r="AX5" i="9"/>
  <c r="AW5" i="9"/>
  <c r="AV5" i="9"/>
  <c r="D17" i="20"/>
  <c r="D18" i="20" s="1"/>
  <c r="D19" i="20" s="1"/>
  <c r="D28" i="20" s="1"/>
  <c r="F17" i="20"/>
  <c r="E17" i="20"/>
  <c r="E19" i="19"/>
  <c r="E21" i="19" s="1"/>
  <c r="F19" i="19"/>
  <c r="F21" i="19" s="1"/>
  <c r="E18" i="18"/>
  <c r="E20" i="18" s="1"/>
  <c r="F18" i="18"/>
  <c r="D18" i="18"/>
  <c r="D20" i="18" s="1"/>
  <c r="AN44" i="9"/>
  <c r="AL47" i="9"/>
  <c r="AN48" i="9"/>
  <c r="AL48" i="9"/>
  <c r="AN49" i="9"/>
  <c r="AN51" i="9"/>
  <c r="AN41" i="9"/>
  <c r="AN40" i="9"/>
  <c r="AN38" i="9"/>
  <c r="AN37" i="9"/>
  <c r="AN36" i="9"/>
  <c r="AN34" i="9"/>
  <c r="AN33" i="9"/>
  <c r="AN31" i="9"/>
  <c r="AN30" i="9"/>
  <c r="AN28" i="9"/>
  <c r="AN26" i="9"/>
  <c r="AN25" i="9"/>
  <c r="AN22" i="9"/>
  <c r="AN21" i="9"/>
  <c r="AL20" i="9"/>
  <c r="AN20" i="9"/>
  <c r="AN17" i="9"/>
  <c r="AN13" i="9"/>
  <c r="AN12" i="9"/>
  <c r="AN10" i="9"/>
  <c r="AM8" i="9"/>
  <c r="AM7" i="9"/>
  <c r="AM5" i="9"/>
  <c r="AG51" i="9"/>
  <c r="AI50" i="9"/>
  <c r="AI48" i="9"/>
  <c r="AI46" i="9"/>
  <c r="AG45" i="9"/>
  <c r="AI45" i="9"/>
  <c r="AH44" i="9"/>
  <c r="AG43" i="9"/>
  <c r="AI43" i="9"/>
  <c r="AI41" i="9"/>
  <c r="AI40" i="9"/>
  <c r="AG39" i="9"/>
  <c r="AI36" i="9"/>
  <c r="AI35" i="9"/>
  <c r="AI34" i="9"/>
  <c r="AG31" i="9"/>
  <c r="AI28" i="9"/>
  <c r="AI25" i="9"/>
  <c r="AI24" i="9"/>
  <c r="AI23" i="9"/>
  <c r="AG21" i="9"/>
  <c r="AI20" i="9"/>
  <c r="AI18" i="9"/>
  <c r="AI17" i="9"/>
  <c r="AI16" i="9"/>
  <c r="AG13" i="9"/>
  <c r="AI12" i="9"/>
  <c r="AI11" i="9"/>
  <c r="AI10" i="9"/>
  <c r="AH8" i="9"/>
  <c r="AH7" i="9"/>
  <c r="AH6" i="9"/>
  <c r="AH5" i="9"/>
  <c r="E16" i="13"/>
  <c r="E18" i="13"/>
  <c r="D16" i="13"/>
  <c r="D18" i="13" s="1"/>
  <c r="AL12" i="9"/>
  <c r="AL16" i="9"/>
  <c r="AL22" i="9"/>
  <c r="AL26" i="9"/>
  <c r="AL28" i="9"/>
  <c r="AL30" i="9"/>
  <c r="AL31" i="9"/>
  <c r="AL33" i="9"/>
  <c r="AL35" i="9"/>
  <c r="AL37" i="9"/>
  <c r="AL41" i="9"/>
  <c r="AL5" i="9"/>
  <c r="AL13" i="9"/>
  <c r="AL17" i="9"/>
  <c r="AL19" i="9"/>
  <c r="AL21" i="9"/>
  <c r="AL25" i="9"/>
  <c r="AL27" i="9"/>
  <c r="AL36" i="9"/>
  <c r="AG5" i="9"/>
  <c r="AG11" i="9"/>
  <c r="AG23" i="9"/>
  <c r="AG25" i="9"/>
  <c r="AG41" i="9"/>
  <c r="AG47" i="9"/>
  <c r="AG10" i="9"/>
  <c r="AG12" i="9"/>
  <c r="AG16" i="9"/>
  <c r="AG18" i="9"/>
  <c r="AG20" i="9"/>
  <c r="AG24" i="9"/>
  <c r="AG26" i="9"/>
  <c r="AG28" i="9"/>
  <c r="AG32" i="9"/>
  <c r="AG36" i="9"/>
  <c r="AG40" i="9"/>
  <c r="AG44" i="9"/>
  <c r="AG46" i="9"/>
  <c r="AG48" i="9"/>
  <c r="AG50" i="9"/>
  <c r="E24" i="19"/>
  <c r="E32" i="19" s="1"/>
  <c r="E33" i="19" s="1"/>
  <c r="F24" i="19"/>
  <c r="F32" i="19" s="1"/>
  <c r="F33" i="19" s="1"/>
  <c r="E25" i="19"/>
  <c r="F25" i="19"/>
  <c r="D19" i="19"/>
  <c r="D21" i="19" s="1"/>
  <c r="D25" i="19"/>
  <c r="D24" i="19"/>
  <c r="D32" i="19" s="1"/>
  <c r="D33" i="19" s="1"/>
  <c r="E23" i="18"/>
  <c r="F23" i="18"/>
  <c r="D28" i="13"/>
  <c r="E28" i="13"/>
  <c r="F28" i="13"/>
  <c r="AP6" i="9"/>
  <c r="AP7" i="9"/>
  <c r="AP8" i="9"/>
  <c r="AR8" i="9" s="1"/>
  <c r="AP9" i="9"/>
  <c r="AQ9" i="9" s="1"/>
  <c r="AP10" i="9"/>
  <c r="AP11" i="9"/>
  <c r="AP12" i="9"/>
  <c r="AP13" i="9"/>
  <c r="AR13" i="9" s="1"/>
  <c r="AP14" i="9"/>
  <c r="AP15" i="9"/>
  <c r="AP16" i="9"/>
  <c r="AS16" i="9" s="1"/>
  <c r="AP17" i="9"/>
  <c r="AP18" i="9"/>
  <c r="AP19" i="9"/>
  <c r="AP20" i="9"/>
  <c r="AP21" i="9"/>
  <c r="AP22" i="9"/>
  <c r="AQ22" i="9" s="1"/>
  <c r="AP23" i="9"/>
  <c r="AP24" i="9"/>
  <c r="AP25" i="9"/>
  <c r="AP26" i="9"/>
  <c r="AP27" i="9"/>
  <c r="AP28" i="9"/>
  <c r="AP29" i="9"/>
  <c r="AQ29" i="9" s="1"/>
  <c r="AP30" i="9"/>
  <c r="AQ30" i="9" s="1"/>
  <c r="AP31" i="9"/>
  <c r="AP32" i="9"/>
  <c r="AP33" i="9"/>
  <c r="AP34" i="9"/>
  <c r="AS34" i="9" s="1"/>
  <c r="AP35" i="9"/>
  <c r="AR35" i="9" s="1"/>
  <c r="AP36" i="9"/>
  <c r="AP37" i="9"/>
  <c r="AS37" i="9" s="1"/>
  <c r="AP38" i="9"/>
  <c r="AP39" i="9"/>
  <c r="AP40" i="9"/>
  <c r="AR40" i="9" s="1"/>
  <c r="AP41" i="9"/>
  <c r="AR41" i="9" s="1"/>
  <c r="AP42" i="9"/>
  <c r="AS42" i="9" s="1"/>
  <c r="AP43" i="9"/>
  <c r="AQ43" i="9" s="1"/>
  <c r="AP44" i="9"/>
  <c r="AP45" i="9"/>
  <c r="AS45" i="9" s="1"/>
  <c r="AP46" i="9"/>
  <c r="AP47" i="9"/>
  <c r="AP48" i="9"/>
  <c r="AP49" i="9"/>
  <c r="AP50" i="9"/>
  <c r="AR50" i="9" s="1"/>
  <c r="AP51" i="9"/>
  <c r="AQ51" i="9" s="1"/>
  <c r="AP5" i="9"/>
  <c r="AR5" i="9" s="1"/>
  <c r="AS6" i="9"/>
  <c r="AQ6" i="9"/>
  <c r="AR14" i="9"/>
  <c r="AS22" i="9"/>
  <c r="AR22" i="9"/>
  <c r="AS30" i="9"/>
  <c r="AR30" i="9"/>
  <c r="AS50" i="9"/>
  <c r="AQ50" i="9"/>
  <c r="AR6" i="9"/>
  <c r="AQ7" i="9"/>
  <c r="AS9" i="9"/>
  <c r="AQ13" i="9"/>
  <c r="AR16" i="9"/>
  <c r="AQ16" i="9"/>
  <c r="AS20" i="9"/>
  <c r="AR20" i="9"/>
  <c r="AQ20" i="9"/>
  <c r="AS24" i="9"/>
  <c r="AR24" i="9"/>
  <c r="AQ24" i="9"/>
  <c r="AS28" i="9"/>
  <c r="AR28" i="9"/>
  <c r="AQ28" i="9"/>
  <c r="AS32" i="9"/>
  <c r="AR32" i="9"/>
  <c r="AQ32" i="9"/>
  <c r="AS36" i="9"/>
  <c r="AR36" i="9"/>
  <c r="AQ36" i="9"/>
  <c r="AS40" i="9"/>
  <c r="AQ40" i="9"/>
  <c r="AS44" i="9"/>
  <c r="AR44" i="9"/>
  <c r="AQ44" i="9"/>
  <c r="AS48" i="9"/>
  <c r="AR48" i="9"/>
  <c r="AQ48" i="9"/>
  <c r="AR9" i="9"/>
  <c r="AS17" i="9"/>
  <c r="AR17" i="9"/>
  <c r="AQ17" i="9"/>
  <c r="AS25" i="9"/>
  <c r="AR25" i="9"/>
  <c r="AQ25" i="9"/>
  <c r="AS33" i="9"/>
  <c r="AR33" i="9"/>
  <c r="AQ33" i="9"/>
  <c r="AS41" i="9"/>
  <c r="AQ41" i="9"/>
  <c r="AS49" i="9"/>
  <c r="AR49" i="9"/>
  <c r="AQ49" i="9"/>
  <c r="AQ8" i="9"/>
  <c r="AS18" i="9"/>
  <c r="AR18" i="9"/>
  <c r="AQ18" i="9"/>
  <c r="AS26" i="9"/>
  <c r="AQ42" i="9"/>
  <c r="AR10" i="9"/>
  <c r="AQ27" i="9"/>
  <c r="AQ35" i="9"/>
  <c r="E25" i="13"/>
  <c r="F25" i="13"/>
  <c r="E26" i="13"/>
  <c r="E27" i="13" s="1"/>
  <c r="F26" i="13"/>
  <c r="D26" i="13"/>
  <c r="D25" i="13"/>
  <c r="D27" i="13" s="1"/>
  <c r="E23" i="13"/>
  <c r="F23" i="13"/>
  <c r="E22" i="13"/>
  <c r="F22" i="13"/>
  <c r="F24" i="13" s="1"/>
  <c r="F35" i="13" s="1"/>
  <c r="F36" i="13" s="1"/>
  <c r="D23" i="13"/>
  <c r="D22" i="13"/>
  <c r="D24" i="13" s="1"/>
  <c r="F27" i="13"/>
  <c r="F16" i="13"/>
  <c r="F18" i="13"/>
  <c r="G6" i="9"/>
  <c r="G7" i="9"/>
  <c r="G8" i="9"/>
  <c r="G9" i="9"/>
  <c r="J9" i="9" s="1"/>
  <c r="G10" i="9"/>
  <c r="H10" i="9" s="1"/>
  <c r="G11" i="9"/>
  <c r="G12" i="9"/>
  <c r="H12" i="9" s="1"/>
  <c r="G13" i="9"/>
  <c r="H13" i="9" s="1"/>
  <c r="G14" i="9"/>
  <c r="G15" i="9"/>
  <c r="G16" i="9"/>
  <c r="J16" i="9" s="1"/>
  <c r="G17" i="9"/>
  <c r="I17" i="9" s="1"/>
  <c r="G18" i="9"/>
  <c r="H18" i="9" s="1"/>
  <c r="G19" i="9"/>
  <c r="G20" i="9"/>
  <c r="G21" i="9"/>
  <c r="I21" i="9" s="1"/>
  <c r="G22" i="9"/>
  <c r="G23" i="9"/>
  <c r="G24" i="9"/>
  <c r="G25" i="9"/>
  <c r="J25" i="9" s="1"/>
  <c r="G26" i="9"/>
  <c r="H26" i="9" s="1"/>
  <c r="G27" i="9"/>
  <c r="G28" i="9"/>
  <c r="J28" i="9" s="1"/>
  <c r="G29" i="9"/>
  <c r="H29" i="9" s="1"/>
  <c r="G30" i="9"/>
  <c r="G31" i="9"/>
  <c r="G32" i="9"/>
  <c r="G5" i="9"/>
  <c r="I5" i="9" s="1"/>
  <c r="L6" i="9"/>
  <c r="M6" i="9" s="1"/>
  <c r="L7" i="9"/>
  <c r="L8" i="9"/>
  <c r="M8" i="9" s="1"/>
  <c r="L9" i="9"/>
  <c r="M9" i="9" s="1"/>
  <c r="L10" i="9"/>
  <c r="L11" i="9"/>
  <c r="L12" i="9"/>
  <c r="L13" i="9"/>
  <c r="O13" i="9" s="1"/>
  <c r="L14" i="9"/>
  <c r="N14" i="9" s="1"/>
  <c r="L15" i="9"/>
  <c r="L16" i="9"/>
  <c r="M16" i="9" s="1"/>
  <c r="L17" i="9"/>
  <c r="O17" i="9" s="1"/>
  <c r="L18" i="9"/>
  <c r="L19" i="9"/>
  <c r="L20" i="9"/>
  <c r="O20" i="9" s="1"/>
  <c r="L21" i="9"/>
  <c r="O21" i="9" s="1"/>
  <c r="L22" i="9"/>
  <c r="N22" i="9" s="1"/>
  <c r="L23" i="9"/>
  <c r="L24" i="9"/>
  <c r="L25" i="9"/>
  <c r="N25" i="9" s="1"/>
  <c r="L26" i="9"/>
  <c r="L27" i="9"/>
  <c r="L28" i="9"/>
  <c r="M28" i="9" s="1"/>
  <c r="L29" i="9"/>
  <c r="N29" i="9" s="1"/>
  <c r="L30" i="9"/>
  <c r="O30" i="9" s="1"/>
  <c r="L31" i="9"/>
  <c r="L32" i="9"/>
  <c r="N32" i="9" s="1"/>
  <c r="L5" i="9"/>
  <c r="O5" i="9" s="1"/>
  <c r="B6" i="9"/>
  <c r="B7" i="9"/>
  <c r="B8" i="9"/>
  <c r="E8" i="9" s="1"/>
  <c r="B9" i="9"/>
  <c r="D9" i="9" s="1"/>
  <c r="B10" i="9"/>
  <c r="D10" i="9" s="1"/>
  <c r="B11" i="9"/>
  <c r="B12" i="9"/>
  <c r="E12" i="9" s="1"/>
  <c r="B13" i="9"/>
  <c r="E13" i="9" s="1"/>
  <c r="B14" i="9"/>
  <c r="B15" i="9"/>
  <c r="B16" i="9"/>
  <c r="B17" i="9"/>
  <c r="C17" i="9" s="1"/>
  <c r="B18" i="9"/>
  <c r="D18" i="9" s="1"/>
  <c r="B19" i="9"/>
  <c r="E19" i="9" s="1"/>
  <c r="B20" i="9"/>
  <c r="D20" i="9" s="1"/>
  <c r="B21" i="9"/>
  <c r="C21" i="9" s="1"/>
  <c r="B22" i="9"/>
  <c r="B23" i="9"/>
  <c r="B24" i="9"/>
  <c r="E24" i="9" s="1"/>
  <c r="B25" i="9"/>
  <c r="E25" i="9" s="1"/>
  <c r="B26" i="9"/>
  <c r="B27" i="9"/>
  <c r="C27" i="9" s="1"/>
  <c r="B28" i="9"/>
  <c r="B29" i="9"/>
  <c r="C29" i="9" s="1"/>
  <c r="B30" i="9"/>
  <c r="B31" i="9"/>
  <c r="B32" i="9"/>
  <c r="C32" i="9" s="1"/>
  <c r="B5" i="9"/>
  <c r="E5" i="9" s="1"/>
  <c r="C20" i="9"/>
  <c r="E16" i="9"/>
  <c r="D12" i="9"/>
  <c r="O32" i="9"/>
  <c r="O28" i="9"/>
  <c r="N16" i="9"/>
  <c r="M12" i="9"/>
  <c r="N8" i="9"/>
  <c r="O8" i="9"/>
  <c r="I28" i="9"/>
  <c r="H28" i="9"/>
  <c r="J24" i="9"/>
  <c r="I24" i="9"/>
  <c r="H24" i="9"/>
  <c r="J12" i="9"/>
  <c r="I12" i="9"/>
  <c r="H8" i="9"/>
  <c r="E31" i="9"/>
  <c r="C31" i="9"/>
  <c r="D31" i="9"/>
  <c r="E23" i="9"/>
  <c r="C23" i="9"/>
  <c r="D23" i="9"/>
  <c r="E15" i="9"/>
  <c r="C15" i="9"/>
  <c r="D15" i="9"/>
  <c r="D11" i="9"/>
  <c r="E11" i="9"/>
  <c r="C11" i="9"/>
  <c r="D7" i="9"/>
  <c r="E7" i="9"/>
  <c r="C7" i="9"/>
  <c r="N31" i="9"/>
  <c r="O31" i="9"/>
  <c r="M31" i="9"/>
  <c r="N27" i="9"/>
  <c r="M27" i="9"/>
  <c r="O27" i="9"/>
  <c r="M23" i="9"/>
  <c r="N19" i="9"/>
  <c r="O19" i="9"/>
  <c r="M19" i="9"/>
  <c r="N15" i="9"/>
  <c r="N11" i="9"/>
  <c r="O11" i="9"/>
  <c r="M11" i="9"/>
  <c r="N7" i="9"/>
  <c r="M7" i="9"/>
  <c r="O7" i="9"/>
  <c r="I31" i="9"/>
  <c r="H31" i="9"/>
  <c r="J31" i="9"/>
  <c r="I27" i="9"/>
  <c r="H27" i="9"/>
  <c r="J27" i="9"/>
  <c r="I23" i="9"/>
  <c r="H23" i="9"/>
  <c r="J23" i="9"/>
  <c r="J19" i="9"/>
  <c r="I15" i="9"/>
  <c r="H15" i="9"/>
  <c r="J15" i="9"/>
  <c r="I11" i="9"/>
  <c r="I7" i="9"/>
  <c r="H7" i="9"/>
  <c r="J7" i="9"/>
  <c r="D30" i="9"/>
  <c r="C30" i="9"/>
  <c r="E30" i="9"/>
  <c r="D22" i="9"/>
  <c r="C22" i="9"/>
  <c r="E22" i="9"/>
  <c r="D14" i="9"/>
  <c r="C14" i="9"/>
  <c r="E14" i="9"/>
  <c r="C10" i="9"/>
  <c r="C6" i="9"/>
  <c r="D6" i="9"/>
  <c r="E6" i="9"/>
  <c r="N26" i="9"/>
  <c r="O26" i="9"/>
  <c r="M26" i="9"/>
  <c r="N18" i="9"/>
  <c r="O18" i="9"/>
  <c r="M18" i="9"/>
  <c r="N10" i="9"/>
  <c r="O10" i="9"/>
  <c r="M10" i="9"/>
  <c r="O6" i="9"/>
  <c r="H30" i="9"/>
  <c r="J30" i="9"/>
  <c r="I30" i="9"/>
  <c r="H22" i="9"/>
  <c r="J22" i="9"/>
  <c r="I22" i="9"/>
  <c r="H14" i="9"/>
  <c r="J14" i="9"/>
  <c r="I14" i="9"/>
  <c r="H6" i="9"/>
  <c r="J6" i="9"/>
  <c r="I6" i="9"/>
  <c r="C5" i="9"/>
  <c r="E29" i="9"/>
  <c r="C13" i="9"/>
  <c r="N5" i="9"/>
  <c r="M29" i="9"/>
  <c r="N17" i="9"/>
  <c r="O9" i="9"/>
  <c r="I29" i="9"/>
  <c r="J21" i="9"/>
  <c r="I13" i="9"/>
  <c r="AN8" i="9" l="1"/>
  <c r="AG8" i="9"/>
  <c r="AI8" i="9"/>
  <c r="AG7" i="9"/>
  <c r="AL6" i="9"/>
  <c r="AM6" i="9"/>
  <c r="AI5" i="9"/>
  <c r="AN5" i="9"/>
  <c r="AL44" i="9"/>
  <c r="AM44" i="9"/>
  <c r="F19" i="18"/>
  <c r="F20" i="18" s="1"/>
  <c r="F30" i="18" s="1"/>
  <c r="F31" i="18" s="1"/>
  <c r="E29" i="20"/>
  <c r="AN29" i="9"/>
  <c r="AL29" i="9"/>
  <c r="AV48" i="9"/>
  <c r="AX48" i="9"/>
  <c r="AW48" i="9"/>
  <c r="E21" i="9"/>
  <c r="AR47" i="9"/>
  <c r="AQ47" i="9"/>
  <c r="AS39" i="9"/>
  <c r="AR39" i="9"/>
  <c r="AQ39" i="9"/>
  <c r="AS31" i="9"/>
  <c r="AR31" i="9"/>
  <c r="AQ31" i="9"/>
  <c r="AS27" i="9"/>
  <c r="AR27" i="9"/>
  <c r="AQ23" i="9"/>
  <c r="AS23" i="9"/>
  <c r="AR15" i="9"/>
  <c r="AQ15" i="9"/>
  <c r="AS11" i="9"/>
  <c r="AQ11" i="9"/>
  <c r="AS7" i="9"/>
  <c r="AR7" i="9"/>
  <c r="AI9" i="9"/>
  <c r="AG9" i="9"/>
  <c r="AG19" i="9"/>
  <c r="AI19" i="9"/>
  <c r="AI32" i="9"/>
  <c r="AI44" i="9"/>
  <c r="AI47" i="9"/>
  <c r="AN9" i="9"/>
  <c r="AL9" i="9"/>
  <c r="AN46" i="9"/>
  <c r="AL46" i="9"/>
  <c r="AN43" i="9"/>
  <c r="AL43" i="9"/>
  <c r="AV14" i="9"/>
  <c r="AX14" i="9"/>
  <c r="AW14" i="9"/>
  <c r="AX39" i="9"/>
  <c r="AW39" i="9"/>
  <c r="AV39" i="9"/>
  <c r="AI49" i="9"/>
  <c r="AG49" i="9"/>
  <c r="AV28" i="9"/>
  <c r="AX28" i="9"/>
  <c r="AW28" i="9"/>
  <c r="J13" i="9"/>
  <c r="J29" i="9"/>
  <c r="M25" i="9"/>
  <c r="C9" i="9"/>
  <c r="D29" i="9"/>
  <c r="H21" i="9"/>
  <c r="J5" i="9"/>
  <c r="M17" i="9"/>
  <c r="O25" i="9"/>
  <c r="M5" i="9"/>
  <c r="D13" i="9"/>
  <c r="D21" i="9"/>
  <c r="N28" i="9"/>
  <c r="C12" i="9"/>
  <c r="E20" i="9"/>
  <c r="AR23" i="9"/>
  <c r="AG29" i="9"/>
  <c r="AI29" i="9"/>
  <c r="AI42" i="9"/>
  <c r="AG42" i="9"/>
  <c r="AN50" i="9"/>
  <c r="AL50" i="9"/>
  <c r="AN42" i="9"/>
  <c r="AL42" i="9"/>
  <c r="AV46" i="9"/>
  <c r="AX46" i="9"/>
  <c r="AW46" i="9"/>
  <c r="AV50" i="9"/>
  <c r="AX50" i="9"/>
  <c r="AW50" i="9"/>
  <c r="AV38" i="9"/>
  <c r="AX38" i="9"/>
  <c r="AW38" i="9"/>
  <c r="AV44" i="9"/>
  <c r="AX44" i="9"/>
  <c r="AW44" i="9"/>
  <c r="H25" i="9"/>
  <c r="N9" i="9"/>
  <c r="O29" i="9"/>
  <c r="I25" i="9"/>
  <c r="D5" i="9"/>
  <c r="O16" i="9"/>
  <c r="M32" i="9"/>
  <c r="E32" i="9"/>
  <c r="AS47" i="9"/>
  <c r="AS15" i="9"/>
  <c r="AI14" i="9"/>
  <c r="AG14" i="9"/>
  <c r="AI27" i="9"/>
  <c r="AG27" i="9"/>
  <c r="AI37" i="9"/>
  <c r="AG37" i="9"/>
  <c r="AV20" i="9"/>
  <c r="AX20" i="9"/>
  <c r="AW20" i="9"/>
  <c r="AV25" i="9"/>
  <c r="AX25" i="9"/>
  <c r="AW25" i="9"/>
  <c r="AX51" i="9"/>
  <c r="AW51" i="9"/>
  <c r="AV51" i="9"/>
  <c r="AI13" i="9"/>
  <c r="AI39" i="9"/>
  <c r="AI51" i="9"/>
  <c r="AN6" i="9"/>
  <c r="AN16" i="9"/>
  <c r="AL49" i="9"/>
  <c r="AV19" i="9"/>
  <c r="AX26" i="9"/>
  <c r="AX29" i="9"/>
  <c r="AX32" i="9"/>
  <c r="AX34" i="9"/>
  <c r="AX40" i="9"/>
  <c r="E24" i="13"/>
  <c r="E35" i="13" s="1"/>
  <c r="E36" i="13" s="1"/>
  <c r="AW8" i="9"/>
  <c r="AW13" i="9"/>
  <c r="AW16" i="9"/>
  <c r="AW18" i="9"/>
  <c r="AW24" i="9"/>
  <c r="AV37" i="9"/>
  <c r="AW43" i="9"/>
  <c r="AG38" i="9"/>
  <c r="AI38" i="9"/>
  <c r="AX33" i="9"/>
  <c r="AW33" i="9"/>
  <c r="AV33" i="9"/>
  <c r="J26" i="9"/>
  <c r="M30" i="9"/>
  <c r="AQ45" i="9"/>
  <c r="AR12" i="9"/>
  <c r="AS12" i="9"/>
  <c r="AX49" i="9"/>
  <c r="AW49" i="9"/>
  <c r="AV49" i="9"/>
  <c r="H17" i="9"/>
  <c r="M21" i="9"/>
  <c r="D25" i="9"/>
  <c r="AR19" i="9"/>
  <c r="AQ19" i="9"/>
  <c r="AN11" i="9"/>
  <c r="AL11" i="9"/>
  <c r="I18" i="9"/>
  <c r="M22" i="9"/>
  <c r="C24" i="9"/>
  <c r="AR29" i="9"/>
  <c r="AG6" i="9"/>
  <c r="AI6" i="9"/>
  <c r="H9" i="9"/>
  <c r="J17" i="9"/>
  <c r="M13" i="9"/>
  <c r="N21" i="9"/>
  <c r="D17" i="9"/>
  <c r="C25" i="9"/>
  <c r="J18" i="9"/>
  <c r="O22" i="9"/>
  <c r="C18" i="9"/>
  <c r="M20" i="9"/>
  <c r="D24" i="9"/>
  <c r="AS35" i="9"/>
  <c r="AR42" i="9"/>
  <c r="AQ12" i="9"/>
  <c r="AS29" i="9"/>
  <c r="AR11" i="9"/>
  <c r="AL14" i="9"/>
  <c r="AI7" i="9"/>
  <c r="AI21" i="9"/>
  <c r="AI26" i="9"/>
  <c r="AI31" i="9"/>
  <c r="AW31" i="9"/>
  <c r="AV31" i="9"/>
  <c r="AS21" i="9"/>
  <c r="AR21" i="9"/>
  <c r="AQ21" i="9"/>
  <c r="AI33" i="9"/>
  <c r="AL24" i="9"/>
  <c r="AS13" i="9"/>
  <c r="AL34" i="9"/>
  <c r="C16" i="9"/>
  <c r="D16" i="9"/>
  <c r="I32" i="9"/>
  <c r="H32" i="9"/>
  <c r="J8" i="9"/>
  <c r="I8" i="9"/>
  <c r="AR45" i="9"/>
  <c r="AS51" i="9"/>
  <c r="AR51" i="9"/>
  <c r="AI15" i="9"/>
  <c r="AG15" i="9"/>
  <c r="AN45" i="9"/>
  <c r="AL45" i="9"/>
  <c r="AR26" i="9"/>
  <c r="AQ26" i="9"/>
  <c r="AI30" i="9"/>
  <c r="AG30" i="9"/>
  <c r="I9" i="9"/>
  <c r="E17" i="9"/>
  <c r="M14" i="9"/>
  <c r="E18" i="9"/>
  <c r="H16" i="9"/>
  <c r="J32" i="9"/>
  <c r="AQ37" i="9"/>
  <c r="AN32" i="9"/>
  <c r="AL32" i="9"/>
  <c r="AV11" i="9"/>
  <c r="AW47" i="9"/>
  <c r="AV47" i="9"/>
  <c r="H5" i="9"/>
  <c r="N13" i="9"/>
  <c r="E9" i="9"/>
  <c r="J10" i="9"/>
  <c r="O14" i="9"/>
  <c r="E10" i="9"/>
  <c r="I16" i="9"/>
  <c r="N20" i="9"/>
  <c r="D32" i="9"/>
  <c r="D28" i="9"/>
  <c r="C28" i="9"/>
  <c r="E28" i="9"/>
  <c r="N24" i="9"/>
  <c r="O24" i="9"/>
  <c r="M24" i="9"/>
  <c r="J20" i="9"/>
  <c r="I20" i="9"/>
  <c r="H20" i="9"/>
  <c r="AS19" i="9"/>
  <c r="AQ34" i="9"/>
  <c r="AR37" i="9"/>
  <c r="AS5" i="9"/>
  <c r="AG33" i="9"/>
  <c r="AL10" i="9"/>
  <c r="AG17" i="9"/>
  <c r="AG22" i="9"/>
  <c r="AI22" i="9"/>
  <c r="AL18" i="9"/>
  <c r="AN18" i="9"/>
  <c r="AL23" i="9"/>
  <c r="AN23" i="9"/>
  <c r="AV9" i="9"/>
  <c r="AW11" i="9"/>
  <c r="AV27" i="9"/>
  <c r="AW45" i="9"/>
  <c r="E26" i="9"/>
  <c r="C26" i="9"/>
  <c r="N6" i="9"/>
  <c r="AN15" i="9"/>
  <c r="AL15" i="9"/>
  <c r="AL39" i="9"/>
  <c r="AN39" i="9"/>
  <c r="I26" i="9"/>
  <c r="N30" i="9"/>
  <c r="D26" i="9"/>
  <c r="C8" i="9"/>
  <c r="D8" i="9"/>
  <c r="N12" i="9"/>
  <c r="O12" i="9"/>
  <c r="AS43" i="9"/>
  <c r="AR43" i="9"/>
  <c r="AS10" i="9"/>
  <c r="AQ10" i="9"/>
  <c r="AG35" i="9"/>
  <c r="AL7" i="9"/>
  <c r="AN7" i="9"/>
  <c r="AW15" i="9"/>
  <c r="AV15" i="9"/>
  <c r="I10" i="9"/>
  <c r="AQ5" i="9"/>
  <c r="AN47" i="9"/>
  <c r="E27" i="9"/>
  <c r="D27" i="9"/>
  <c r="D19" i="9"/>
  <c r="C19" i="9"/>
  <c r="N23" i="9"/>
  <c r="O23" i="9"/>
  <c r="M15" i="9"/>
  <c r="O15" i="9"/>
  <c r="I19" i="9"/>
  <c r="H19" i="9"/>
  <c r="H11" i="9"/>
  <c r="J11" i="9"/>
  <c r="AR34" i="9"/>
  <c r="AS46" i="9"/>
  <c r="AR46" i="9"/>
  <c r="AQ46" i="9"/>
  <c r="AR38" i="9"/>
  <c r="AS38" i="9"/>
  <c r="AQ38" i="9"/>
  <c r="AQ14" i="9"/>
  <c r="AS14" i="9"/>
  <c r="AG34" i="9"/>
  <c r="AL38" i="9"/>
  <c r="AN14" i="9"/>
  <c r="AN19" i="9"/>
  <c r="AN24" i="9"/>
  <c r="AL51" i="9"/>
  <c r="AX17" i="9"/>
  <c r="AW17" i="9"/>
  <c r="AV17" i="9"/>
  <c r="AX45" i="9"/>
  <c r="AN35" i="9"/>
  <c r="AL8" i="9"/>
  <c r="AL40" i="9"/>
  <c r="AS8" i="9"/>
  <c r="AN27" i="9"/>
  <c r="F29" i="20" l="1"/>
  <c r="D29" i="20"/>
</calcChain>
</file>

<file path=xl/sharedStrings.xml><?xml version="1.0" encoding="utf-8"?>
<sst xmlns="http://schemas.openxmlformats.org/spreadsheetml/2006/main" count="452" uniqueCount="135">
  <si>
    <t>Ship's Name</t>
  </si>
  <si>
    <t>DWT</t>
  </si>
  <si>
    <t>ME Spec. Fuel Consumption</t>
  </si>
  <si>
    <t>AE Spec. Fuel Consumption</t>
  </si>
  <si>
    <t>[tonnes]</t>
  </si>
  <si>
    <t>[kW]</t>
  </si>
  <si>
    <t>[kts]</t>
  </si>
  <si>
    <t>[g/kWh]</t>
  </si>
  <si>
    <t>Generic Aux. Eng. Power</t>
  </si>
  <si>
    <t>Total Inst. Main Engine Power</t>
  </si>
  <si>
    <t>a</t>
  </si>
  <si>
    <t>c</t>
  </si>
  <si>
    <t>EEDI</t>
  </si>
  <si>
    <t>Ship Type</t>
  </si>
  <si>
    <t>Dry Bulk</t>
  </si>
  <si>
    <t>General Cargo</t>
  </si>
  <si>
    <t>Tanker</t>
  </si>
  <si>
    <t>Container</t>
  </si>
  <si>
    <t>1B</t>
  </si>
  <si>
    <t>1A</t>
  </si>
  <si>
    <t>1AS</t>
  </si>
  <si>
    <t>#1</t>
  </si>
  <si>
    <t>#2</t>
  </si>
  <si>
    <t>#3</t>
  </si>
  <si>
    <t>Lenght between Perp.</t>
  </si>
  <si>
    <t>[m]</t>
  </si>
  <si>
    <t>Total Inst. Shaft Generator Power</t>
  </si>
  <si>
    <t>EEDI ME Power</t>
  </si>
  <si>
    <t>Ice Class</t>
  </si>
  <si>
    <t>1C, 1B, 1A, 1AS</t>
  </si>
  <si>
    <t>Power Correction</t>
  </si>
  <si>
    <t>Capacity Correction</t>
  </si>
  <si>
    <t>Capacity</t>
  </si>
  <si>
    <t>[-]</t>
  </si>
  <si>
    <r>
      <t>L</t>
    </r>
    <r>
      <rPr>
        <b/>
        <vertAlign val="subscript"/>
        <sz val="10"/>
        <color theme="0"/>
        <rFont val="Calibri"/>
        <family val="2"/>
      </rPr>
      <t>PP</t>
    </r>
  </si>
  <si>
    <r>
      <t>ΣMCR</t>
    </r>
    <r>
      <rPr>
        <b/>
        <vertAlign val="subscript"/>
        <sz val="10"/>
        <color theme="0"/>
        <rFont val="Calibri"/>
        <family val="2"/>
      </rPr>
      <t>ME</t>
    </r>
  </si>
  <si>
    <r>
      <t>P</t>
    </r>
    <r>
      <rPr>
        <b/>
        <vertAlign val="subscript"/>
        <sz val="10"/>
        <color theme="0"/>
        <rFont val="Calibri"/>
        <family val="2"/>
      </rPr>
      <t>ME</t>
    </r>
  </si>
  <si>
    <r>
      <t>P</t>
    </r>
    <r>
      <rPr>
        <b/>
        <vertAlign val="subscript"/>
        <sz val="10"/>
        <color theme="0"/>
        <rFont val="Calibri"/>
        <family val="2"/>
      </rPr>
      <t>AE</t>
    </r>
  </si>
  <si>
    <r>
      <rPr>
        <b/>
        <sz val="10"/>
        <color theme="0"/>
        <rFont val="Calibri"/>
        <family val="2"/>
      </rPr>
      <t xml:space="preserve">Service Speed / </t>
    </r>
    <r>
      <rPr>
        <b/>
        <i/>
        <sz val="10"/>
        <color theme="0"/>
        <rFont val="Calibri"/>
        <family val="2"/>
      </rPr>
      <t>Speed at 75% P</t>
    </r>
    <r>
      <rPr>
        <b/>
        <i/>
        <vertAlign val="subscript"/>
        <sz val="10"/>
        <color theme="0"/>
        <rFont val="Calibri"/>
        <family val="2"/>
      </rPr>
      <t>ME</t>
    </r>
  </si>
  <si>
    <r>
      <t>V</t>
    </r>
    <r>
      <rPr>
        <b/>
        <vertAlign val="subscript"/>
        <sz val="10"/>
        <color theme="0"/>
        <rFont val="Calibri"/>
        <family val="2"/>
      </rPr>
      <t>ref</t>
    </r>
  </si>
  <si>
    <r>
      <t>f</t>
    </r>
    <r>
      <rPr>
        <b/>
        <vertAlign val="subscript"/>
        <sz val="10"/>
        <color theme="0"/>
        <rFont val="Calibri"/>
        <family val="2"/>
      </rPr>
      <t>i0</t>
    </r>
  </si>
  <si>
    <r>
      <t>f</t>
    </r>
    <r>
      <rPr>
        <b/>
        <vertAlign val="subscript"/>
        <sz val="10"/>
        <color theme="0"/>
        <rFont val="Calibri"/>
        <family val="2"/>
      </rPr>
      <t>i</t>
    </r>
  </si>
  <si>
    <r>
      <t>f</t>
    </r>
    <r>
      <rPr>
        <b/>
        <vertAlign val="subscript"/>
        <sz val="10"/>
        <color theme="0"/>
        <rFont val="Calibri"/>
        <family val="2"/>
      </rPr>
      <t>j0</t>
    </r>
  </si>
  <si>
    <r>
      <t>f</t>
    </r>
    <r>
      <rPr>
        <b/>
        <vertAlign val="subscript"/>
        <sz val="10"/>
        <color theme="0"/>
        <rFont val="Calibri"/>
        <family val="2"/>
      </rPr>
      <t>j</t>
    </r>
  </si>
  <si>
    <r>
      <t>SFC</t>
    </r>
    <r>
      <rPr>
        <b/>
        <vertAlign val="subscript"/>
        <sz val="10"/>
        <color theme="0"/>
        <rFont val="Calibri"/>
        <family val="2"/>
      </rPr>
      <t>ME</t>
    </r>
  </si>
  <si>
    <r>
      <t>SFC</t>
    </r>
    <r>
      <rPr>
        <b/>
        <vertAlign val="subscript"/>
        <sz val="10"/>
        <color theme="0"/>
        <rFont val="Calibri"/>
        <family val="2"/>
      </rPr>
      <t>AE</t>
    </r>
  </si>
  <si>
    <r>
      <t>ME FUEL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 xml:space="preserve"> Conversion</t>
    </r>
  </si>
  <si>
    <r>
      <t>C</t>
    </r>
    <r>
      <rPr>
        <b/>
        <vertAlign val="subscript"/>
        <sz val="10"/>
        <color theme="0"/>
        <rFont val="Calibri"/>
        <family val="2"/>
      </rPr>
      <t>FME</t>
    </r>
  </si>
  <si>
    <r>
      <t>[g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 xml:space="preserve"> / g Fuel]</t>
    </r>
  </si>
  <si>
    <r>
      <t>AE FUEL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 xml:space="preserve"> Conversion</t>
    </r>
  </si>
  <si>
    <r>
      <t>C</t>
    </r>
    <r>
      <rPr>
        <b/>
        <vertAlign val="subscript"/>
        <sz val="10"/>
        <color theme="0"/>
        <rFont val="Calibri"/>
        <family val="2"/>
      </rPr>
      <t>FAE</t>
    </r>
  </si>
  <si>
    <r>
      <t>EEDI</t>
    </r>
    <r>
      <rPr>
        <b/>
        <vertAlign val="subscript"/>
        <sz val="10"/>
        <color theme="0"/>
        <rFont val="Calibri"/>
        <family val="2"/>
      </rPr>
      <t>Attained</t>
    </r>
  </si>
  <si>
    <t>w/o PTI, WHR and Novel Tech</t>
  </si>
  <si>
    <t>Template 1</t>
  </si>
  <si>
    <t>Template 2</t>
  </si>
  <si>
    <r>
      <t>f</t>
    </r>
    <r>
      <rPr>
        <b/>
        <vertAlign val="subscript"/>
        <sz val="10"/>
        <color theme="0"/>
        <rFont val="Calibri"/>
        <family val="2"/>
      </rPr>
      <t>imax</t>
    </r>
  </si>
  <si>
    <r>
      <t>f</t>
    </r>
    <r>
      <rPr>
        <b/>
        <vertAlign val="subscript"/>
        <sz val="10"/>
        <color theme="0"/>
        <rFont val="Calibri"/>
        <family val="2"/>
      </rPr>
      <t>jmin</t>
    </r>
  </si>
  <si>
    <t>Vol</t>
  </si>
  <si>
    <r>
      <t>[m</t>
    </r>
    <r>
      <rPr>
        <b/>
        <vertAlign val="superscript"/>
        <sz val="10"/>
        <color rgb="FFFFFF00"/>
        <rFont val="Calibri"/>
        <family val="2"/>
      </rPr>
      <t>3</t>
    </r>
    <r>
      <rPr>
        <b/>
        <sz val="10"/>
        <color rgb="FFFFFF00"/>
        <rFont val="Calibri"/>
        <family val="2"/>
      </rPr>
      <t>]</t>
    </r>
  </si>
  <si>
    <t>Cubic Capacity Correction</t>
  </si>
  <si>
    <r>
      <t>f</t>
    </r>
    <r>
      <rPr>
        <b/>
        <vertAlign val="subscript"/>
        <sz val="10"/>
        <color rgb="FFFFFF00"/>
        <rFont val="Calibri"/>
        <family val="2"/>
      </rPr>
      <t>c</t>
    </r>
  </si>
  <si>
    <t>Chem/Parcel, Cubic Capacity</t>
  </si>
  <si>
    <t>Gas Tanker</t>
  </si>
  <si>
    <t>Moulded Breadth</t>
  </si>
  <si>
    <t>Draught@Summer Load Line</t>
  </si>
  <si>
    <r>
      <t>B</t>
    </r>
    <r>
      <rPr>
        <b/>
        <vertAlign val="subscript"/>
        <sz val="10"/>
        <color theme="0"/>
        <rFont val="Calibri"/>
        <family val="2"/>
      </rPr>
      <t>S</t>
    </r>
  </si>
  <si>
    <r>
      <t>d</t>
    </r>
    <r>
      <rPr>
        <b/>
        <vertAlign val="subscript"/>
        <sz val="10"/>
        <color theme="0"/>
        <rFont val="Calibri"/>
        <family val="2"/>
      </rPr>
      <t>S</t>
    </r>
  </si>
  <si>
    <t>Displacement@Summer Load Line</t>
  </si>
  <si>
    <r>
      <t>∆</t>
    </r>
    <r>
      <rPr>
        <b/>
        <vertAlign val="subscript"/>
        <sz val="10"/>
        <color theme="0"/>
        <rFont val="Calibri"/>
        <family val="2"/>
      </rPr>
      <t>S</t>
    </r>
  </si>
  <si>
    <r>
      <t>f</t>
    </r>
    <r>
      <rPr>
        <b/>
        <vertAlign val="subscript"/>
        <sz val="10"/>
        <color theme="0"/>
        <rFont val="Calibri"/>
        <family val="2"/>
      </rPr>
      <t>jRoRo</t>
    </r>
  </si>
  <si>
    <t>Templet 3</t>
  </si>
  <si>
    <t>Gross</t>
  </si>
  <si>
    <t>GT</t>
  </si>
  <si>
    <t>[GT]</t>
  </si>
  <si>
    <t>RoRo Cargo</t>
  </si>
  <si>
    <t>RoRo Pass</t>
  </si>
  <si>
    <t>RoRo VC</t>
  </si>
  <si>
    <t>RoRo VC2</t>
  </si>
  <si>
    <t>LNG Carrier</t>
  </si>
  <si>
    <t>LNG Cargo Tank Capacity</t>
  </si>
  <si>
    <r>
      <t>[m</t>
    </r>
    <r>
      <rPr>
        <b/>
        <vertAlign val="superscript"/>
        <sz val="10"/>
        <color theme="0"/>
        <rFont val="Calibri"/>
        <family val="2"/>
      </rPr>
      <t>3</t>
    </r>
    <r>
      <rPr>
        <b/>
        <sz val="10"/>
        <color theme="0"/>
        <rFont val="Calibri"/>
        <family val="2"/>
      </rPr>
      <t>]</t>
    </r>
  </si>
  <si>
    <t>DE, Rated Propulsion Motor Power</t>
  </si>
  <si>
    <t>ΣMPP</t>
  </si>
  <si>
    <t>DE, Electrical Efficiency</t>
  </si>
  <si>
    <t>η</t>
  </si>
  <si>
    <t>[%]</t>
  </si>
  <si>
    <t>DIESEL ELECTRIC PROPULSION</t>
  </si>
  <si>
    <t>STEAM TRUBINE PROPULSION</t>
  </si>
  <si>
    <t>ST, Installed Propulsion Motor Power</t>
  </si>
  <si>
    <r>
      <t>ΣMCR</t>
    </r>
    <r>
      <rPr>
        <b/>
        <vertAlign val="subscript"/>
        <sz val="10"/>
        <color rgb="FFFFC000"/>
        <rFont val="Calibri"/>
        <family val="2"/>
      </rPr>
      <t>ST</t>
    </r>
  </si>
  <si>
    <t>DIESEL MECHANICAL PROPULSION</t>
  </si>
  <si>
    <t>DM,  Installed Main Engine Power</t>
  </si>
  <si>
    <t>DM, Installed Shaft Generator Power</t>
  </si>
  <si>
    <t>ST, Rated Shaft Generator Power</t>
  </si>
  <si>
    <r>
      <t>ΣMCR</t>
    </r>
    <r>
      <rPr>
        <b/>
        <vertAlign val="subscript"/>
        <sz val="10"/>
        <color rgb="FF0070C0"/>
        <rFont val="Calibri"/>
        <family val="2"/>
      </rPr>
      <t>ME</t>
    </r>
  </si>
  <si>
    <t>[Y / N]</t>
  </si>
  <si>
    <t>BOR</t>
  </si>
  <si>
    <t>[%/Day]</t>
  </si>
  <si>
    <t>Design Boil-off Gas Ratio</t>
  </si>
  <si>
    <r>
      <t>COP</t>
    </r>
    <r>
      <rPr>
        <b/>
        <vertAlign val="subscript"/>
        <sz val="10"/>
        <color rgb="FF92D050"/>
        <rFont val="Calibri"/>
        <family val="2"/>
      </rPr>
      <t>Reliquefy</t>
    </r>
  </si>
  <si>
    <r>
      <t>COP</t>
    </r>
    <r>
      <rPr>
        <b/>
        <vertAlign val="subscript"/>
        <sz val="10"/>
        <color rgb="FF92D050"/>
        <rFont val="Calibri"/>
        <family val="2"/>
      </rPr>
      <t>Cooling</t>
    </r>
  </si>
  <si>
    <t>Coeff. Design Performance Reliquef.</t>
  </si>
  <si>
    <r>
      <t>Ratio BOG</t>
    </r>
    <r>
      <rPr>
        <b/>
        <vertAlign val="subscript"/>
        <sz val="10"/>
        <color rgb="FF92D050"/>
        <rFont val="Calibri"/>
        <family val="2"/>
      </rPr>
      <t>Relique</t>
    </r>
    <r>
      <rPr>
        <b/>
        <sz val="10"/>
        <color rgb="FF92D050"/>
        <rFont val="Calibri"/>
        <family val="2"/>
      </rPr>
      <t xml:space="preserve"> / BOG</t>
    </r>
    <r>
      <rPr>
        <b/>
        <vertAlign val="subscript"/>
        <sz val="10"/>
        <color rgb="FF92D050"/>
        <rFont val="Calibri"/>
        <family val="2"/>
      </rPr>
      <t>Total</t>
    </r>
  </si>
  <si>
    <r>
      <t>R</t>
    </r>
    <r>
      <rPr>
        <b/>
        <vertAlign val="subscript"/>
        <sz val="10"/>
        <color rgb="FF92D050"/>
        <rFont val="Calibri"/>
        <family val="2"/>
      </rPr>
      <t>Reliquefy</t>
    </r>
  </si>
  <si>
    <t>RELIQUIEFACTION SYSTEM IN NORMAL OPERATION</t>
  </si>
  <si>
    <r>
      <t>ME FUEL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 xml:space="preserve"> Conversion Factor</t>
    </r>
  </si>
  <si>
    <r>
      <t>AE FUEL CO</t>
    </r>
    <r>
      <rPr>
        <b/>
        <vertAlign val="subscript"/>
        <sz val="10"/>
        <color theme="0"/>
        <rFont val="Calibri"/>
        <family val="2"/>
      </rPr>
      <t>2</t>
    </r>
    <r>
      <rPr>
        <b/>
        <sz val="10"/>
        <color theme="0"/>
        <rFont val="Calibri"/>
        <family val="2"/>
      </rPr>
      <t xml:space="preserve"> Conversion Factor</t>
    </r>
  </si>
  <si>
    <t>Refers</t>
  </si>
  <si>
    <r>
      <t>P</t>
    </r>
    <r>
      <rPr>
        <b/>
        <vertAlign val="subscript"/>
        <sz val="10"/>
        <color theme="0"/>
        <rFont val="Calibri"/>
        <family val="2"/>
      </rPr>
      <t>PTO.DED</t>
    </r>
  </si>
  <si>
    <t>Max Deductable Shaft Generator Power</t>
  </si>
  <si>
    <r>
      <t>Generic Aux. Eng. Pow, 0.866*GT</t>
    </r>
    <r>
      <rPr>
        <b/>
        <vertAlign val="superscript"/>
        <sz val="10"/>
        <color theme="0"/>
        <rFont val="Calibri"/>
        <family val="2"/>
      </rPr>
      <t>0.732</t>
    </r>
  </si>
  <si>
    <r>
      <rPr>
        <b/>
        <sz val="10"/>
        <color theme="0"/>
        <rFont val="Calibri"/>
        <family val="2"/>
      </rPr>
      <t>Service Speed / Speed at 75% P</t>
    </r>
    <r>
      <rPr>
        <b/>
        <vertAlign val="subscript"/>
        <sz val="10"/>
        <color theme="0"/>
        <rFont val="Calibri"/>
        <family val="2"/>
      </rPr>
      <t>ME</t>
    </r>
  </si>
  <si>
    <r>
      <t>f</t>
    </r>
    <r>
      <rPr>
        <b/>
        <vertAlign val="subscript"/>
        <sz val="10"/>
        <color theme="0"/>
        <rFont val="Calibri"/>
        <family val="2"/>
      </rPr>
      <t>cRoPax</t>
    </r>
  </si>
  <si>
    <t>Capacity Ratio</t>
  </si>
  <si>
    <t>DWT/GT</t>
  </si>
  <si>
    <r>
      <t>ΣMCR</t>
    </r>
    <r>
      <rPr>
        <b/>
        <vertAlign val="subscript"/>
        <sz val="10"/>
        <color theme="0"/>
        <rFont val="Calibri"/>
        <family val="2"/>
      </rPr>
      <t>PTO</t>
    </r>
  </si>
  <si>
    <r>
      <t>ΣMCR</t>
    </r>
    <r>
      <rPr>
        <b/>
        <vertAlign val="subscript"/>
        <sz val="10"/>
        <color rgb="FF0070C0"/>
        <rFont val="Calibri"/>
        <family val="2"/>
      </rPr>
      <t>PTO</t>
    </r>
  </si>
  <si>
    <r>
      <t>ΣMCR</t>
    </r>
    <r>
      <rPr>
        <b/>
        <vertAlign val="subscript"/>
        <sz val="10"/>
        <color rgb="FFFFC000"/>
        <rFont val="Calibri"/>
        <family val="2"/>
      </rPr>
      <t>PTO</t>
    </r>
  </si>
  <si>
    <r>
      <t>EEDI</t>
    </r>
    <r>
      <rPr>
        <b/>
        <vertAlign val="subscript"/>
        <sz val="10"/>
        <color theme="0"/>
        <rFont val="Calibri"/>
        <family val="2"/>
      </rPr>
      <t>Required</t>
    </r>
  </si>
  <si>
    <t xml:space="preserve">EEDI Margin to </t>
  </si>
  <si>
    <t>Phase 0</t>
  </si>
  <si>
    <t>Phase 1</t>
  </si>
  <si>
    <t>Phase 2</t>
  </si>
  <si>
    <t>Phase 3</t>
  </si>
  <si>
    <t>Phase 0*</t>
  </si>
  <si>
    <t>Phase 1*</t>
  </si>
  <si>
    <t>Phase 2*</t>
  </si>
  <si>
    <t>Phase 3*</t>
  </si>
  <si>
    <r>
      <t>EEDI</t>
    </r>
    <r>
      <rPr>
        <b/>
        <vertAlign val="subscript"/>
        <sz val="10"/>
        <color theme="0"/>
        <rFont val="Calibri"/>
        <family val="2"/>
      </rPr>
      <t>Required,</t>
    </r>
    <r>
      <rPr>
        <b/>
        <sz val="10"/>
        <color theme="0"/>
        <rFont val="Calibri"/>
        <family val="2"/>
      </rPr>
      <t xml:space="preserve"> *) = Reg 21 as Amended</t>
    </r>
  </si>
  <si>
    <t>Document:</t>
  </si>
  <si>
    <t>Subject:</t>
  </si>
  <si>
    <t>EEDI CALCULATOR</t>
  </si>
  <si>
    <t>File Version:</t>
  </si>
  <si>
    <t>Templet 1</t>
  </si>
  <si>
    <t>Templet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</si>
</sst>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#,##0.0000"/>
    <numFmt numFmtId="167" formatCode="#,##0.000"/>
    <numFmt numFmtId="168" formatCode="0.000"/>
    <numFmt numFmtId="169" formatCode="0.0%"/>
    <numFmt numFmtId="170" formatCode="&quot;Red = &quot;0%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vertAlign val="subscript"/>
      <sz val="10"/>
      <color theme="0"/>
      <name val="Calibri"/>
      <family val="2"/>
    </font>
    <font>
      <b/>
      <i/>
      <sz val="10"/>
      <color theme="0"/>
      <name val="Calibri"/>
      <family val="2"/>
    </font>
    <font>
      <b/>
      <i/>
      <vertAlign val="subscript"/>
      <sz val="10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FF00"/>
      <name val="Calibri"/>
      <family val="2"/>
    </font>
    <font>
      <b/>
      <vertAlign val="superscript"/>
      <sz val="10"/>
      <color rgb="FFFFFF00"/>
      <name val="Calibri"/>
      <family val="2"/>
    </font>
    <font>
      <b/>
      <vertAlign val="subscript"/>
      <sz val="10"/>
      <color rgb="FFFFFF00"/>
      <name val="Calibri"/>
      <family val="2"/>
    </font>
    <font>
      <b/>
      <vertAlign val="superscript"/>
      <sz val="10"/>
      <color theme="0"/>
      <name val="Calibri"/>
      <family val="2"/>
    </font>
    <font>
      <b/>
      <sz val="10"/>
      <color rgb="FFFFC000"/>
      <name val="Calibri"/>
      <family val="2"/>
    </font>
    <font>
      <b/>
      <sz val="10"/>
      <color rgb="FF92D050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sz val="10"/>
      <color rgb="FFFFFF00"/>
      <name val="Calibri"/>
      <family val="2"/>
    </font>
    <font>
      <sz val="10"/>
      <color rgb="FFFFC000"/>
      <name val="Calibri"/>
      <family val="2"/>
    </font>
    <font>
      <b/>
      <vertAlign val="subscript"/>
      <sz val="10"/>
      <color rgb="FFFFC000"/>
      <name val="Calibri"/>
      <family val="2"/>
    </font>
    <font>
      <b/>
      <vertAlign val="subscript"/>
      <sz val="10"/>
      <color rgb="FF0070C0"/>
      <name val="Calibri"/>
      <family val="2"/>
    </font>
    <font>
      <b/>
      <vertAlign val="subscript"/>
      <sz val="10"/>
      <color rgb="FF92D05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/>
    <xf numFmtId="0" fontId="4" fillId="0" borderId="0" xfId="0" applyFont="1" applyFill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5" xfId="0" applyFont="1" applyFill="1" applyBorder="1" applyAlignment="1">
      <alignment horizontal="right"/>
    </xf>
    <xf numFmtId="0" fontId="5" fillId="2" borderId="2" xfId="0" applyFont="1" applyFill="1" applyBorder="1"/>
    <xf numFmtId="0" fontId="5" fillId="2" borderId="0" xfId="0" applyFont="1" applyFill="1" applyBorder="1"/>
    <xf numFmtId="0" fontId="3" fillId="2" borderId="1" xfId="0" applyFont="1" applyFill="1" applyBorder="1"/>
    <xf numFmtId="3" fontId="6" fillId="2" borderId="0" xfId="0" applyNumberFormat="1" applyFont="1" applyFill="1" applyBorder="1"/>
    <xf numFmtId="0" fontId="8" fillId="2" borderId="2" xfId="0" applyFont="1" applyFill="1" applyBorder="1"/>
    <xf numFmtId="166" fontId="6" fillId="2" borderId="0" xfId="0" applyNumberFormat="1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3" fillId="2" borderId="9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66" fontId="5" fillId="2" borderId="0" xfId="0" applyNumberFormat="1" applyFont="1" applyFill="1" applyBorder="1"/>
    <xf numFmtId="4" fontId="4" fillId="0" borderId="0" xfId="0" applyNumberFormat="1" applyFont="1" applyFill="1"/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0" fontId="13" fillId="0" borderId="0" xfId="0" applyFont="1" applyBorder="1"/>
    <xf numFmtId="0" fontId="12" fillId="0" borderId="0" xfId="0" applyFont="1" applyBorder="1" applyAlignment="1">
      <alignment horizontal="left"/>
    </xf>
    <xf numFmtId="0" fontId="13" fillId="0" borderId="8" xfId="0" applyFont="1" applyBorder="1"/>
    <xf numFmtId="0" fontId="15" fillId="0" borderId="8" xfId="0" applyFont="1" applyBorder="1" applyAlignment="1"/>
    <xf numFmtId="0" fontId="15" fillId="0" borderId="0" xfId="0" applyFont="1" applyBorder="1" applyAlignment="1"/>
    <xf numFmtId="0" fontId="1" fillId="0" borderId="0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1" fillId="0" borderId="3" xfId="0" applyFont="1" applyFill="1" applyBorder="1" applyProtection="1">
      <protection locked="0"/>
    </xf>
    <xf numFmtId="3" fontId="11" fillId="0" borderId="0" xfId="0" applyNumberFormat="1" applyFont="1" applyFill="1" applyBorder="1"/>
    <xf numFmtId="4" fontId="11" fillId="0" borderId="3" xfId="0" applyNumberFormat="1" applyFont="1" applyFill="1" applyBorder="1" applyProtection="1">
      <protection locked="0"/>
    </xf>
    <xf numFmtId="3" fontId="11" fillId="0" borderId="3" xfId="0" applyNumberFormat="1" applyFont="1" applyFill="1" applyBorder="1" applyProtection="1">
      <protection locked="0"/>
    </xf>
    <xf numFmtId="164" fontId="11" fillId="0" borderId="3" xfId="0" applyNumberFormat="1" applyFont="1" applyFill="1" applyBorder="1" applyProtection="1">
      <protection locked="0"/>
    </xf>
    <xf numFmtId="0" fontId="11" fillId="0" borderId="3" xfId="0" applyFont="1" applyFill="1" applyBorder="1" applyAlignment="1" applyProtection="1">
      <alignment horizontal="right"/>
      <protection locked="0"/>
    </xf>
    <xf numFmtId="0" fontId="16" fillId="0" borderId="0" xfId="0" applyFont="1" applyFill="1" applyBorder="1" applyAlignment="1">
      <alignment vertical="center"/>
    </xf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6" fillId="2" borderId="6" xfId="0" applyFont="1" applyFill="1" applyBorder="1"/>
    <xf numFmtId="3" fontId="11" fillId="2" borderId="0" xfId="0" applyNumberFormat="1" applyFont="1" applyFill="1" applyBorder="1"/>
    <xf numFmtId="0" fontId="11" fillId="2" borderId="1" xfId="0" applyFont="1" applyFill="1" applyBorder="1"/>
    <xf numFmtId="0" fontId="17" fillId="2" borderId="1" xfId="0" applyFont="1" applyFill="1" applyBorder="1"/>
    <xf numFmtId="0" fontId="6" fillId="2" borderId="1" xfId="0" applyFont="1" applyFill="1" applyBorder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4" fontId="4" fillId="3" borderId="0" xfId="0" applyNumberFormat="1" applyFont="1" applyFill="1"/>
    <xf numFmtId="166" fontId="4" fillId="3" borderId="0" xfId="0" applyNumberFormat="1" applyFont="1" applyFill="1"/>
    <xf numFmtId="3" fontId="4" fillId="3" borderId="0" xfId="0" applyNumberFormat="1" applyFont="1" applyFill="1"/>
    <xf numFmtId="9" fontId="5" fillId="2" borderId="8" xfId="1" applyFont="1" applyFill="1" applyBorder="1"/>
    <xf numFmtId="0" fontId="18" fillId="2" borderId="2" xfId="0" applyFont="1" applyFill="1" applyBorder="1"/>
    <xf numFmtId="0" fontId="18" fillId="2" borderId="0" xfId="0" applyFont="1" applyFill="1" applyBorder="1"/>
    <xf numFmtId="0" fontId="18" fillId="2" borderId="2" xfId="0" applyFont="1" applyFill="1" applyBorder="1" applyAlignment="1">
      <alignment horizontal="left" vertical="center"/>
    </xf>
    <xf numFmtId="166" fontId="18" fillId="2" borderId="0" xfId="0" applyNumberFormat="1" applyFont="1" applyFill="1" applyBorder="1"/>
    <xf numFmtId="0" fontId="5" fillId="2" borderId="2" xfId="0" applyFont="1" applyFill="1" applyBorder="1" applyAlignment="1">
      <alignment horizontal="left" vertical="center"/>
    </xf>
    <xf numFmtId="168" fontId="11" fillId="0" borderId="0" xfId="0" applyNumberFormat="1" applyFont="1" applyFill="1"/>
    <xf numFmtId="2" fontId="5" fillId="2" borderId="0" xfId="0" applyNumberFormat="1" applyFont="1" applyFill="1" applyBorder="1"/>
    <xf numFmtId="167" fontId="5" fillId="2" borderId="0" xfId="0" applyNumberFormat="1" applyFont="1" applyFill="1" applyBorder="1"/>
    <xf numFmtId="3" fontId="6" fillId="2" borderId="0" xfId="0" applyNumberFormat="1" applyFont="1" applyFill="1" applyBorder="1" applyProtection="1"/>
    <xf numFmtId="0" fontId="24" fillId="2" borderId="2" xfId="0" applyFont="1" applyFill="1" applyBorder="1"/>
    <xf numFmtId="0" fontId="24" fillId="2" borderId="0" xfId="0" applyFont="1" applyFill="1" applyBorder="1"/>
    <xf numFmtId="169" fontId="26" fillId="2" borderId="0" xfId="1" applyNumberFormat="1" applyFont="1" applyFill="1" applyBorder="1" applyProtection="1"/>
    <xf numFmtId="0" fontId="18" fillId="2" borderId="2" xfId="0" applyFont="1" applyFill="1" applyBorder="1" applyAlignment="1">
      <alignment horizontal="left" indent="1"/>
    </xf>
    <xf numFmtId="0" fontId="22" fillId="2" borderId="2" xfId="0" applyFont="1" applyFill="1" applyBorder="1"/>
    <xf numFmtId="0" fontId="22" fillId="2" borderId="0" xfId="0" applyFont="1" applyFill="1" applyBorder="1"/>
    <xf numFmtId="3" fontId="27" fillId="2" borderId="0" xfId="0" applyNumberFormat="1" applyFont="1" applyFill="1" applyBorder="1"/>
    <xf numFmtId="0" fontId="22" fillId="2" borderId="2" xfId="0" applyFont="1" applyFill="1" applyBorder="1" applyAlignment="1">
      <alignment horizontal="left" indent="1"/>
    </xf>
    <xf numFmtId="3" fontId="25" fillId="2" borderId="0" xfId="0" applyNumberFormat="1" applyFont="1" applyFill="1" applyBorder="1"/>
    <xf numFmtId="0" fontId="24" fillId="2" borderId="2" xfId="0" applyFont="1" applyFill="1" applyBorder="1" applyAlignment="1">
      <alignment horizontal="left" indent="1"/>
    </xf>
    <xf numFmtId="0" fontId="5" fillId="2" borderId="5" xfId="0" applyFont="1" applyFill="1" applyBorder="1" applyAlignment="1">
      <alignment horizontal="center"/>
    </xf>
    <xf numFmtId="0" fontId="23" fillId="2" borderId="2" xfId="0" applyFont="1" applyFill="1" applyBorder="1"/>
    <xf numFmtId="3" fontId="23" fillId="2" borderId="0" xfId="0" applyNumberFormat="1" applyFont="1" applyFill="1" applyBorder="1"/>
    <xf numFmtId="49" fontId="11" fillId="0" borderId="3" xfId="0" applyNumberFormat="1" applyFont="1" applyFill="1" applyBorder="1" applyAlignment="1" applyProtection="1">
      <alignment horizontal="center"/>
      <protection locked="0"/>
    </xf>
    <xf numFmtId="10" fontId="11" fillId="0" borderId="3" xfId="1" applyNumberFormat="1" applyFont="1" applyFill="1" applyBorder="1" applyProtection="1">
      <protection locked="0"/>
    </xf>
    <xf numFmtId="167" fontId="11" fillId="0" borderId="3" xfId="0" applyNumberFormat="1" applyFont="1" applyFill="1" applyBorder="1" applyProtection="1">
      <protection locked="0"/>
    </xf>
    <xf numFmtId="0" fontId="23" fillId="2" borderId="2" xfId="0" applyFont="1" applyFill="1" applyBorder="1" applyAlignment="1">
      <alignment horizontal="left" indent="1"/>
    </xf>
    <xf numFmtId="0" fontId="23" fillId="2" borderId="0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left"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4" fontId="32" fillId="0" borderId="0" xfId="0" applyNumberFormat="1" applyFont="1" applyAlignment="1">
      <alignment horizontal="right"/>
    </xf>
    <xf numFmtId="0" fontId="32" fillId="0" borderId="0" xfId="0" applyFont="1" applyBorder="1"/>
    <xf numFmtId="0" fontId="31" fillId="0" borderId="0" xfId="0" applyFont="1" applyBorder="1" applyAlignment="1">
      <alignment horizontal="left"/>
    </xf>
    <xf numFmtId="0" fontId="32" fillId="0" borderId="8" xfId="0" applyFont="1" applyBorder="1"/>
    <xf numFmtId="0" fontId="33" fillId="0" borderId="8" xfId="0" applyFont="1" applyBorder="1" applyAlignment="1"/>
    <xf numFmtId="0" fontId="33" fillId="0" borderId="0" xfId="0" applyFont="1" applyBorder="1" applyAlignment="1"/>
    <xf numFmtId="0" fontId="34" fillId="0" borderId="0" xfId="0" applyFont="1" applyBorder="1"/>
    <xf numFmtId="0" fontId="35" fillId="0" borderId="0" xfId="0" applyFont="1" applyBorder="1" applyAlignment="1">
      <alignment horizontal="center"/>
    </xf>
    <xf numFmtId="0" fontId="36" fillId="2" borderId="5" xfId="0" applyFont="1" applyFill="1" applyBorder="1" applyAlignment="1">
      <alignment horizontal="right"/>
    </xf>
    <xf numFmtId="0" fontId="37" fillId="2" borderId="6" xfId="0" applyFont="1" applyFill="1" applyBorder="1"/>
    <xf numFmtId="0" fontId="38" fillId="0" borderId="0" xfId="0" applyFont="1" applyFill="1"/>
    <xf numFmtId="0" fontId="36" fillId="2" borderId="0" xfId="0" applyFont="1" applyFill="1" applyBorder="1"/>
    <xf numFmtId="0" fontId="38" fillId="2" borderId="1" xfId="0" applyFont="1" applyFill="1" applyBorder="1"/>
    <xf numFmtId="3" fontId="38" fillId="2" borderId="0" xfId="0" applyNumberFormat="1" applyFont="1" applyFill="1" applyBorder="1"/>
    <xf numFmtId="4" fontId="38" fillId="0" borderId="3" xfId="0" applyNumberFormat="1" applyFont="1" applyFill="1" applyBorder="1" applyProtection="1">
      <protection locked="0"/>
    </xf>
    <xf numFmtId="3" fontId="38" fillId="0" borderId="3" xfId="0" applyNumberFormat="1" applyFont="1" applyFill="1" applyBorder="1" applyProtection="1">
      <protection locked="0"/>
    </xf>
    <xf numFmtId="3" fontId="39" fillId="2" borderId="0" xfId="0" applyNumberFormat="1" applyFont="1" applyFill="1" applyBorder="1"/>
    <xf numFmtId="0" fontId="39" fillId="2" borderId="1" xfId="0" applyFont="1" applyFill="1" applyBorder="1"/>
    <xf numFmtId="3" fontId="39" fillId="2" borderId="0" xfId="0" applyNumberFormat="1" applyFont="1" applyFill="1" applyBorder="1" applyProtection="1"/>
    <xf numFmtId="164" fontId="38" fillId="0" borderId="3" xfId="0" applyNumberFormat="1" applyFont="1" applyFill="1" applyBorder="1" applyProtection="1">
      <protection locked="0"/>
    </xf>
    <xf numFmtId="167" fontId="36" fillId="2" borderId="0" xfId="0" applyNumberFormat="1" applyFont="1" applyFill="1" applyBorder="1"/>
    <xf numFmtId="0" fontId="40" fillId="2" borderId="1" xfId="0" applyFont="1" applyFill="1" applyBorder="1"/>
    <xf numFmtId="2" fontId="36" fillId="2" borderId="0" xfId="0" applyNumberFormat="1" applyFont="1" applyFill="1" applyBorder="1"/>
    <xf numFmtId="0" fontId="41" fillId="2" borderId="1" xfId="0" applyFont="1" applyFill="1" applyBorder="1"/>
    <xf numFmtId="0" fontId="41" fillId="0" borderId="0" xfId="0" applyFont="1"/>
    <xf numFmtId="0" fontId="41" fillId="2" borderId="9" xfId="0" applyFont="1" applyFill="1" applyBorder="1"/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/>
    <xf numFmtId="3" fontId="38" fillId="0" borderId="0" xfId="0" applyNumberFormat="1" applyFont="1" applyFill="1" applyBorder="1"/>
    <xf numFmtId="165" fontId="38" fillId="0" borderId="0" xfId="0" applyNumberFormat="1" applyFont="1" applyFill="1" applyBorder="1"/>
    <xf numFmtId="0" fontId="38" fillId="0" borderId="0" xfId="0" applyFont="1"/>
    <xf numFmtId="0" fontId="5" fillId="2" borderId="2" xfId="0" applyFont="1" applyFill="1" applyBorder="1" applyAlignment="1">
      <alignment horizontal="left"/>
    </xf>
    <xf numFmtId="167" fontId="6" fillId="2" borderId="10" xfId="0" applyNumberFormat="1" applyFont="1" applyFill="1" applyBorder="1" applyProtection="1"/>
    <xf numFmtId="49" fontId="5" fillId="2" borderId="8" xfId="0" applyNumberFormat="1" applyFont="1" applyFill="1" applyBorder="1"/>
    <xf numFmtId="0" fontId="4" fillId="0" borderId="0" xfId="0" applyFont="1"/>
    <xf numFmtId="0" fontId="42" fillId="0" borderId="0" xfId="0" applyFont="1"/>
    <xf numFmtId="0" fontId="11" fillId="0" borderId="0" xfId="0" quotePrefix="1" applyFont="1" applyFill="1"/>
    <xf numFmtId="170" fontId="5" fillId="2" borderId="0" xfId="0" applyNumberFormat="1" applyFont="1" applyFill="1" applyBorder="1" applyAlignment="1">
      <alignment horizontal="left"/>
    </xf>
    <xf numFmtId="0" fontId="13" fillId="0" borderId="8" xfId="0" applyFont="1" applyBorder="1" applyAlignme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/>
    <xf numFmtId="3" fontId="3" fillId="0" borderId="3" xfId="0" applyNumberFormat="1" applyFont="1" applyFill="1" applyBorder="1" applyProtection="1">
      <protection locked="0"/>
    </xf>
    <xf numFmtId="167" fontId="3" fillId="0" borderId="3" xfId="0" applyNumberFormat="1" applyFont="1" applyFill="1" applyBorder="1" applyProtection="1">
      <protection locked="0"/>
    </xf>
    <xf numFmtId="0" fontId="43" fillId="0" borderId="3" xfId="0" applyFont="1" applyFill="1" applyBorder="1" applyProtection="1">
      <protection locked="0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</cellXfs>
  <cellStyles count="2">
    <cellStyle name="Normal" xfId="0" builtinId="0"/>
    <cellStyle name="Procent" xfId="1" builtinId="5"/>
  </cellStyles>
  <dxfs count="12"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206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LNG CARRIERS - </a:t>
            </a:r>
            <a:r>
              <a:rPr lang="sv-SE" sz="1000" b="1" i="0" u="none" strike="noStrike" baseline="0">
                <a:effectLst/>
              </a:rPr>
              <a:t>Res MEPC.251(66)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Baselines!$AT$5:$AT$51</c:f>
              <c:numCache>
                <c:formatCode>#,##0</c:formatCode>
                <c:ptCount val="47"/>
                <c:pt idx="0">
                  <c:v>100</c:v>
                </c:pt>
                <c:pt idx="1">
                  <c:v>200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Baselines!$AU$5:$AU$51</c:f>
              <c:numCache>
                <c:formatCode>#,##0.00</c:formatCode>
                <c:ptCount val="47"/>
                <c:pt idx="0">
                  <c:v>254.03649069827472</c:v>
                </c:pt>
                <c:pt idx="1">
                  <c:v>182.89754950100527</c:v>
                </c:pt>
                <c:pt idx="2">
                  <c:v>118.46343533338666</c:v>
                </c:pt>
                <c:pt idx="3">
                  <c:v>85.289605317691326</c:v>
                </c:pt>
                <c:pt idx="4">
                  <c:v>70.376691770868106</c:v>
                </c:pt>
                <c:pt idx="5">
                  <c:v>61.405586920350217</c:v>
                </c:pt>
                <c:pt idx="6">
                  <c:v>55.242400304039428</c:v>
                </c:pt>
                <c:pt idx="7">
                  <c:v>50.668801287163895</c:v>
                </c:pt>
                <c:pt idx="8">
                  <c:v>44.209913869194018</c:v>
                </c:pt>
                <c:pt idx="9">
                  <c:v>39.77263115385577</c:v>
                </c:pt>
                <c:pt idx="10">
                  <c:v>36.479796922492241</c:v>
                </c:pt>
                <c:pt idx="11">
                  <c:v>33.909363176088981</c:v>
                </c:pt>
                <c:pt idx="12">
                  <c:v>31.829619784544619</c:v>
                </c:pt>
                <c:pt idx="13">
                  <c:v>30.101293285567198</c:v>
                </c:pt>
                <c:pt idx="14">
                  <c:v>28.634928609084891</c:v>
                </c:pt>
                <c:pt idx="15">
                  <c:v>27.370074020296418</c:v>
                </c:pt>
                <c:pt idx="16">
                  <c:v>26.264201040876134</c:v>
                </c:pt>
                <c:pt idx="17">
                  <c:v>25.286397207254801</c:v>
                </c:pt>
                <c:pt idx="18">
                  <c:v>24.413577014069556</c:v>
                </c:pt>
                <c:pt idx="19">
                  <c:v>23.628102593463041</c:v>
                </c:pt>
                <c:pt idx="20">
                  <c:v>22.916233192090221</c:v>
                </c:pt>
                <c:pt idx="21">
                  <c:v>22.267082385427571</c:v>
                </c:pt>
                <c:pt idx="22">
                  <c:v>21.671897464842029</c:v>
                </c:pt>
                <c:pt idx="23">
                  <c:v>21.12354955277176</c:v>
                </c:pt>
                <c:pt idx="24">
                  <c:v>20.616165253826779</c:v>
                </c:pt>
                <c:pt idx="25">
                  <c:v>20.144855614511037</c:v>
                </c:pt>
                <c:pt idx="26">
                  <c:v>19.705513385944993</c:v>
                </c:pt>
                <c:pt idx="27">
                  <c:v>19.294659126872599</c:v>
                </c:pt>
                <c:pt idx="28">
                  <c:v>18.909322817261767</c:v>
                </c:pt>
                <c:pt idx="29">
                  <c:v>18.546951683132466</c:v>
                </c:pt>
                <c:pt idx="30">
                  <c:v>18.205337635564245</c:v>
                </c:pt>
                <c:pt idx="31">
                  <c:v>17.882559572082798</c:v>
                </c:pt>
                <c:pt idx="32">
                  <c:v>17.011422460702743</c:v>
                </c:pt>
                <c:pt idx="33">
                  <c:v>15.8127662713545</c:v>
                </c:pt>
                <c:pt idx="34">
                  <c:v>14.842931008329717</c:v>
                </c:pt>
                <c:pt idx="35">
                  <c:v>14.03697004624979</c:v>
                </c:pt>
                <c:pt idx="36">
                  <c:v>13.353168295760547</c:v>
                </c:pt>
                <c:pt idx="37">
                  <c:v>11.018362739689442</c:v>
                </c:pt>
                <c:pt idx="38">
                  <c:v>9.6138226152314967</c:v>
                </c:pt>
                <c:pt idx="39">
                  <c:v>7.9328427938170565</c:v>
                </c:pt>
                <c:pt idx="40">
                  <c:v>6.9216221371582938</c:v>
                </c:pt>
                <c:pt idx="41">
                  <c:v>6.2269093095742463</c:v>
                </c:pt>
                <c:pt idx="42">
                  <c:v>5.7113743918353563</c:v>
                </c:pt>
                <c:pt idx="43">
                  <c:v>5.3089404225260157</c:v>
                </c:pt>
                <c:pt idx="44">
                  <c:v>4.9833302451093928</c:v>
                </c:pt>
                <c:pt idx="45">
                  <c:v>4.7127388345277215</c:v>
                </c:pt>
                <c:pt idx="46">
                  <c:v>4.4831608662033107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29-4263-A1ED-D01A278EB772}"/>
            </c:ext>
          </c:extLst>
        </c:ser>
        <c:ser>
          <c:idx val="4"/>
          <c:order val="1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Baselines!$AT$5:$AT$51</c:f>
              <c:numCache>
                <c:formatCode>#,##0</c:formatCode>
                <c:ptCount val="47"/>
                <c:pt idx="0">
                  <c:v>100</c:v>
                </c:pt>
                <c:pt idx="1">
                  <c:v>200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Baselines!$AV$5:$AV$51</c:f>
              <c:numCache>
                <c:formatCode>#,##0.00</c:formatCode>
                <c:ptCount val="47"/>
                <c:pt idx="0">
                  <c:v>228.63284162844724</c:v>
                </c:pt>
                <c:pt idx="1">
                  <c:v>164.60779455090474</c:v>
                </c:pt>
                <c:pt idx="2">
                  <c:v>106.61709180004799</c:v>
                </c:pt>
                <c:pt idx="3">
                  <c:v>76.760644785922196</c:v>
                </c:pt>
                <c:pt idx="4">
                  <c:v>63.339022593781294</c:v>
                </c:pt>
                <c:pt idx="5">
                  <c:v>55.265028228315195</c:v>
                </c:pt>
                <c:pt idx="6">
                  <c:v>49.718160273635483</c:v>
                </c:pt>
                <c:pt idx="7">
                  <c:v>45.601921158447503</c:v>
                </c:pt>
                <c:pt idx="8">
                  <c:v>39.788922482274614</c:v>
                </c:pt>
                <c:pt idx="9">
                  <c:v>35.795368038470194</c:v>
                </c:pt>
                <c:pt idx="10">
                  <c:v>32.831817230243018</c:v>
                </c:pt>
                <c:pt idx="11">
                  <c:v>30.518426858480083</c:v>
                </c:pt>
                <c:pt idx="12">
                  <c:v>28.646657806090158</c:v>
                </c:pt>
                <c:pt idx="13">
                  <c:v>27.09116395701048</c:v>
                </c:pt>
                <c:pt idx="14">
                  <c:v>25.771435748176401</c:v>
                </c:pt>
                <c:pt idx="15">
                  <c:v>24.633066618266778</c:v>
                </c:pt>
                <c:pt idx="16">
                  <c:v>23.63778093678852</c:v>
                </c:pt>
                <c:pt idx="17">
                  <c:v>22.757757486529322</c:v>
                </c:pt>
                <c:pt idx="18">
                  <c:v>21.972219312662602</c:v>
                </c:pt>
                <c:pt idx="19">
                  <c:v>21.265292334116737</c:v>
                </c:pt>
                <c:pt idx="20">
                  <c:v>20.624609872881198</c:v>
                </c:pt>
                <c:pt idx="21">
                  <c:v>20.040374146884815</c:v>
                </c:pt>
                <c:pt idx="22">
                  <c:v>19.504707718357828</c:v>
                </c:pt>
                <c:pt idx="23">
                  <c:v>19.011194597494583</c:v>
                </c:pt>
                <c:pt idx="24">
                  <c:v>18.5545487284441</c:v>
                </c:pt>
                <c:pt idx="25">
                  <c:v>18.130370053059934</c:v>
                </c:pt>
                <c:pt idx="26">
                  <c:v>17.734962047350493</c:v>
                </c:pt>
                <c:pt idx="27">
                  <c:v>17.365193214185339</c:v>
                </c:pt>
                <c:pt idx="28">
                  <c:v>17.018390535535591</c:v>
                </c:pt>
                <c:pt idx="29">
                  <c:v>16.692256514819221</c:v>
                </c:pt>
                <c:pt idx="30">
                  <c:v>16.384803872007822</c:v>
                </c:pt>
                <c:pt idx="31">
                  <c:v>16.094303614874519</c:v>
                </c:pt>
                <c:pt idx="32">
                  <c:v>15.310280214632469</c:v>
                </c:pt>
                <c:pt idx="33">
                  <c:v>14.231489644219049</c:v>
                </c:pt>
                <c:pt idx="34">
                  <c:v>13.358637907496746</c:v>
                </c:pt>
                <c:pt idx="35">
                  <c:v>12.633273041624811</c:v>
                </c:pt>
                <c:pt idx="36">
                  <c:v>12.017851466184492</c:v>
                </c:pt>
                <c:pt idx="37">
                  <c:v>9.9165264657204979</c:v>
                </c:pt>
                <c:pt idx="38">
                  <c:v>8.6524403537083465</c:v>
                </c:pt>
                <c:pt idx="39">
                  <c:v>7.1395585144353513</c:v>
                </c:pt>
                <c:pt idx="40">
                  <c:v>6.2294599234424641</c:v>
                </c:pt>
                <c:pt idx="41">
                  <c:v>5.6042183786168218</c:v>
                </c:pt>
                <c:pt idx="42">
                  <c:v>5.1402369526518212</c:v>
                </c:pt>
                <c:pt idx="43">
                  <c:v>4.7780463802734143</c:v>
                </c:pt>
                <c:pt idx="44">
                  <c:v>4.4849972205984541</c:v>
                </c:pt>
                <c:pt idx="45">
                  <c:v>4.2414649510749491</c:v>
                </c:pt>
                <c:pt idx="46">
                  <c:v>4.03484477958298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29-4263-A1ED-D01A278EB772}"/>
            </c:ext>
          </c:extLst>
        </c:ser>
        <c:ser>
          <c:idx val="5"/>
          <c:order val="2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Baselines!$AT$5:$AT$51</c:f>
              <c:numCache>
                <c:formatCode>#,##0</c:formatCode>
                <c:ptCount val="47"/>
                <c:pt idx="0">
                  <c:v>100</c:v>
                </c:pt>
                <c:pt idx="1">
                  <c:v>200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Baselines!$AW$5:$AW$51</c:f>
              <c:numCache>
                <c:formatCode>#,##0.00</c:formatCode>
                <c:ptCount val="47"/>
                <c:pt idx="0">
                  <c:v>203.22919255861979</c:v>
                </c:pt>
                <c:pt idx="1">
                  <c:v>146.31803960080421</c:v>
                </c:pt>
                <c:pt idx="2">
                  <c:v>94.770748266709333</c:v>
                </c:pt>
                <c:pt idx="3">
                  <c:v>68.231684254153066</c:v>
                </c:pt>
                <c:pt idx="4">
                  <c:v>56.301353416694489</c:v>
                </c:pt>
                <c:pt idx="5">
                  <c:v>49.124469536280174</c:v>
                </c:pt>
                <c:pt idx="6">
                  <c:v>44.193920243231545</c:v>
                </c:pt>
                <c:pt idx="7">
                  <c:v>40.535041029731119</c:v>
                </c:pt>
                <c:pt idx="8">
                  <c:v>35.367931095355218</c:v>
                </c:pt>
                <c:pt idx="9">
                  <c:v>31.818104923084618</c:v>
                </c:pt>
                <c:pt idx="10">
                  <c:v>29.183837537993796</c:v>
                </c:pt>
                <c:pt idx="11">
                  <c:v>27.127490540871186</c:v>
                </c:pt>
                <c:pt idx="12">
                  <c:v>25.463695827635696</c:v>
                </c:pt>
                <c:pt idx="13">
                  <c:v>24.081034628453761</c:v>
                </c:pt>
                <c:pt idx="14">
                  <c:v>22.907942887267915</c:v>
                </c:pt>
                <c:pt idx="15">
                  <c:v>21.896059216237134</c:v>
                </c:pt>
                <c:pt idx="16">
                  <c:v>21.011360832700909</c:v>
                </c:pt>
                <c:pt idx="17">
                  <c:v>20.229117765803842</c:v>
                </c:pt>
                <c:pt idx="18">
                  <c:v>19.530861611255645</c:v>
                </c:pt>
                <c:pt idx="19">
                  <c:v>18.902482074770433</c:v>
                </c:pt>
                <c:pt idx="20">
                  <c:v>18.332986553672178</c:v>
                </c:pt>
                <c:pt idx="21">
                  <c:v>17.813665908342056</c:v>
                </c:pt>
                <c:pt idx="22">
                  <c:v>17.337517971873623</c:v>
                </c:pt>
                <c:pt idx="23">
                  <c:v>16.898839642217407</c:v>
                </c:pt>
                <c:pt idx="24">
                  <c:v>16.492932203061425</c:v>
                </c:pt>
                <c:pt idx="25">
                  <c:v>16.115884491608831</c:v>
                </c:pt>
                <c:pt idx="26">
                  <c:v>15.764410708755996</c:v>
                </c:pt>
                <c:pt idx="27">
                  <c:v>15.43572730149808</c:v>
                </c:pt>
                <c:pt idx="28">
                  <c:v>15.127458253809415</c:v>
                </c:pt>
                <c:pt idx="29">
                  <c:v>14.837561346505973</c:v>
                </c:pt>
                <c:pt idx="30">
                  <c:v>14.564270108451396</c:v>
                </c:pt>
                <c:pt idx="31">
                  <c:v>14.306047657666239</c:v>
                </c:pt>
                <c:pt idx="32">
                  <c:v>13.609137968562194</c:v>
                </c:pt>
                <c:pt idx="33">
                  <c:v>12.650213017083601</c:v>
                </c:pt>
                <c:pt idx="34">
                  <c:v>11.874344806663775</c:v>
                </c:pt>
                <c:pt idx="35">
                  <c:v>11.229576036999832</c:v>
                </c:pt>
                <c:pt idx="36">
                  <c:v>10.682534636608437</c:v>
                </c:pt>
                <c:pt idx="37">
                  <c:v>8.8146901917515539</c:v>
                </c:pt>
                <c:pt idx="38">
                  <c:v>7.6910580921851981</c:v>
                </c:pt>
                <c:pt idx="39">
                  <c:v>6.3462742350536452</c:v>
                </c:pt>
                <c:pt idx="40">
                  <c:v>5.5372977097266354</c:v>
                </c:pt>
                <c:pt idx="41">
                  <c:v>4.9815274476593974</c:v>
                </c:pt>
                <c:pt idx="42">
                  <c:v>4.5690995134682852</c:v>
                </c:pt>
                <c:pt idx="43">
                  <c:v>4.2471523380208129</c:v>
                </c:pt>
                <c:pt idx="44">
                  <c:v>3.9866641960875144</c:v>
                </c:pt>
                <c:pt idx="45">
                  <c:v>3.7701910676221773</c:v>
                </c:pt>
                <c:pt idx="46">
                  <c:v>3.5865286929626485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29-4263-A1ED-D01A278EB772}"/>
            </c:ext>
          </c:extLst>
        </c:ser>
        <c:ser>
          <c:idx val="6"/>
          <c:order val="3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Baselines!$AT$5:$AT$51</c:f>
              <c:numCache>
                <c:formatCode>#,##0</c:formatCode>
                <c:ptCount val="47"/>
                <c:pt idx="0">
                  <c:v>100</c:v>
                </c:pt>
                <c:pt idx="1">
                  <c:v>200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Baselines!$AX$5:$AX$51</c:f>
              <c:numCache>
                <c:formatCode>#,##0.00</c:formatCode>
                <c:ptCount val="47"/>
                <c:pt idx="0">
                  <c:v>177.82554348879231</c:v>
                </c:pt>
                <c:pt idx="1">
                  <c:v>128.02828465070368</c:v>
                </c:pt>
                <c:pt idx="2">
                  <c:v>82.92440473337065</c:v>
                </c:pt>
                <c:pt idx="3">
                  <c:v>59.702723722383922</c:v>
                </c:pt>
                <c:pt idx="4">
                  <c:v>49.26368423960767</c:v>
                </c:pt>
                <c:pt idx="5">
                  <c:v>42.983910844245152</c:v>
                </c:pt>
                <c:pt idx="6">
                  <c:v>38.6696802128276</c:v>
                </c:pt>
                <c:pt idx="7">
                  <c:v>35.468160901014727</c:v>
                </c:pt>
                <c:pt idx="8">
                  <c:v>30.94693970843581</c:v>
                </c:pt>
                <c:pt idx="9">
                  <c:v>27.840841807699036</c:v>
                </c:pt>
                <c:pt idx="10">
                  <c:v>25.535857845744566</c:v>
                </c:pt>
                <c:pt idx="11">
                  <c:v>23.736554223262285</c:v>
                </c:pt>
                <c:pt idx="12">
                  <c:v>22.280733849181232</c:v>
                </c:pt>
                <c:pt idx="13">
                  <c:v>21.070905299897039</c:v>
                </c:pt>
                <c:pt idx="14">
                  <c:v>20.044450026359424</c:v>
                </c:pt>
                <c:pt idx="15">
                  <c:v>19.159051814207491</c:v>
                </c:pt>
                <c:pt idx="16">
                  <c:v>18.384940728613294</c:v>
                </c:pt>
                <c:pt idx="17">
                  <c:v>17.700478045078359</c:v>
                </c:pt>
                <c:pt idx="18">
                  <c:v>17.089503909848688</c:v>
                </c:pt>
                <c:pt idx="19">
                  <c:v>16.539671815424128</c:v>
                </c:pt>
                <c:pt idx="20">
                  <c:v>16.041363234463155</c:v>
                </c:pt>
                <c:pt idx="21">
                  <c:v>15.586957669799299</c:v>
                </c:pt>
                <c:pt idx="22">
                  <c:v>15.170328225389419</c:v>
                </c:pt>
                <c:pt idx="23">
                  <c:v>14.786484686940231</c:v>
                </c:pt>
                <c:pt idx="24">
                  <c:v>14.431315677678745</c:v>
                </c:pt>
                <c:pt idx="25">
                  <c:v>14.101398930157725</c:v>
                </c:pt>
                <c:pt idx="26">
                  <c:v>13.793859370161494</c:v>
                </c:pt>
                <c:pt idx="27">
                  <c:v>13.506261388810819</c:v>
                </c:pt>
                <c:pt idx="28">
                  <c:v>13.236525972083236</c:v>
                </c:pt>
                <c:pt idx="29">
                  <c:v>12.982866178192726</c:v>
                </c:pt>
                <c:pt idx="30">
                  <c:v>12.743736344894971</c:v>
                </c:pt>
                <c:pt idx="31">
                  <c:v>12.517791700457957</c:v>
                </c:pt>
                <c:pt idx="32">
                  <c:v>11.90799572249192</c:v>
                </c:pt>
                <c:pt idx="33">
                  <c:v>11.068936389948149</c:v>
                </c:pt>
                <c:pt idx="34">
                  <c:v>10.390051705830802</c:v>
                </c:pt>
                <c:pt idx="35">
                  <c:v>9.8258790323748517</c:v>
                </c:pt>
                <c:pt idx="36">
                  <c:v>9.3472178070323828</c:v>
                </c:pt>
                <c:pt idx="37">
                  <c:v>7.712853917782609</c:v>
                </c:pt>
                <c:pt idx="38">
                  <c:v>6.729675830662047</c:v>
                </c:pt>
                <c:pt idx="39">
                  <c:v>5.5529899556719391</c:v>
                </c:pt>
                <c:pt idx="40">
                  <c:v>4.8451354960108057</c:v>
                </c:pt>
                <c:pt idx="41">
                  <c:v>4.358836516701972</c:v>
                </c:pt>
                <c:pt idx="42">
                  <c:v>3.9979620742847493</c:v>
                </c:pt>
                <c:pt idx="43">
                  <c:v>3.7162582957682107</c:v>
                </c:pt>
                <c:pt idx="44">
                  <c:v>3.4883311715765748</c:v>
                </c:pt>
                <c:pt idx="45">
                  <c:v>3.2989171841694049</c:v>
                </c:pt>
                <c:pt idx="46">
                  <c:v>3.1382126063423175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29-4263-A1ED-D01A278EB772}"/>
            </c:ext>
          </c:extLst>
        </c:ser>
        <c:ser>
          <c:idx val="1"/>
          <c:order val="4"/>
          <c:tx>
            <c:strRef>
              <c:f>'LNG Carriers'!$D$8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'LNG Carriers'!$D$12</c:f>
              <c:numCache>
                <c:formatCode>#,##0</c:formatCode>
                <c:ptCount val="1"/>
                <c:pt idx="0">
                  <c:v>96811</c:v>
                </c:pt>
              </c:numCache>
            </c:numRef>
          </c:xVal>
          <c:yVal>
            <c:numRef>
              <c:f>'LNG Carriers'!$D$43</c:f>
              <c:numCache>
                <c:formatCode>0.00</c:formatCode>
                <c:ptCount val="1"/>
                <c:pt idx="0">
                  <c:v>8.6483182193012809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29-4263-A1ED-D01A278EB772}"/>
            </c:ext>
          </c:extLst>
        </c:ser>
        <c:ser>
          <c:idx val="2"/>
          <c:order val="5"/>
          <c:tx>
            <c:strRef>
              <c:f>'LNG Carriers'!$E$8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'LNG Carriers'!$E$12</c:f>
              <c:numCache>
                <c:formatCode>#,##0</c:formatCode>
                <c:ptCount val="1"/>
                <c:pt idx="0">
                  <c:v>96811</c:v>
                </c:pt>
              </c:numCache>
            </c:numRef>
          </c:xVal>
          <c:yVal>
            <c:numRef>
              <c:f>'LNG Carriers'!$E$43</c:f>
              <c:numCache>
                <c:formatCode>0.00</c:formatCode>
                <c:ptCount val="1"/>
                <c:pt idx="0">
                  <c:v>6.8681187123749803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29-4263-A1ED-D01A278EB772}"/>
            </c:ext>
          </c:extLst>
        </c:ser>
        <c:ser>
          <c:idx val="3"/>
          <c:order val="6"/>
          <c:tx>
            <c:strRef>
              <c:f>'LNG Carriers'!$F$8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'LNG Carriers'!$F$12</c:f>
              <c:numCache>
                <c:formatCode>#,##0</c:formatCode>
                <c:ptCount val="1"/>
                <c:pt idx="0">
                  <c:v>96811</c:v>
                </c:pt>
              </c:numCache>
            </c:numRef>
          </c:xVal>
          <c:yVal>
            <c:numRef>
              <c:f>'LNG Carriers'!$F$43</c:f>
              <c:numCache>
                <c:formatCode>0.00</c:formatCode>
                <c:ptCount val="1"/>
                <c:pt idx="0">
                  <c:v>9.5869787524144989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29-4263-A1ED-D01A278EB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6847584"/>
        <c:axId val="380175696"/>
      </c:scatterChart>
      <c:valAx>
        <c:axId val="376847584"/>
        <c:scaling>
          <c:orientation val="minMax"/>
          <c:max val="500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380175696"/>
        <c:crosses val="autoZero"/>
        <c:crossBetween val="midCat"/>
        <c:majorUnit val="100000"/>
        <c:minorUnit val="10000"/>
      </c:valAx>
      <c:valAx>
        <c:axId val="380175696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376847584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TANKERS - </a:t>
            </a:r>
            <a:r>
              <a:rPr lang="sv-SE" sz="1000" b="1" i="0" u="none" strike="noStrike" baseline="0">
                <a:effectLst/>
              </a:rPr>
              <a:t>Res MEPC.203(62)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Baselines!$Q$5:$Q$46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20.667057496008283</c:v>
                </c:pt>
                <c:pt idx="2">
                  <c:v>20.098550566418687</c:v>
                </c:pt>
                <c:pt idx="3">
                  <c:v>19.575189007025248</c:v>
                </c:pt>
                <c:pt idx="4">
                  <c:v>19.09128159218676</c:v>
                </c:pt>
                <c:pt idx="5">
                  <c:v>17.466047437605837</c:v>
                </c:pt>
                <c:pt idx="6">
                  <c:v>16.200357635000792</c:v>
                </c:pt>
                <c:pt idx="7">
                  <c:v>15.178348910513284</c:v>
                </c:pt>
                <c:pt idx="8">
                  <c:v>14.33052499472833</c:v>
                </c:pt>
                <c:pt idx="9">
                  <c:v>13.612329263949469</c:v>
                </c:pt>
                <c:pt idx="10">
                  <c:v>12.993699392281178</c:v>
                </c:pt>
                <c:pt idx="11">
                  <c:v>12.453516413363989</c:v>
                </c:pt>
                <c:pt idx="12">
                  <c:v>11.976449556456284</c:v>
                </c:pt>
                <c:pt idx="13">
                  <c:v>11.551063309003817</c:v>
                </c:pt>
                <c:pt idx="14">
                  <c:v>11.168630192397982</c:v>
                </c:pt>
                <c:pt idx="15">
                  <c:v>10.822357946758965</c:v>
                </c:pt>
                <c:pt idx="16">
                  <c:v>10.506870316704948</c:v>
                </c:pt>
                <c:pt idx="17">
                  <c:v>10.217848592906108</c:v>
                </c:pt>
                <c:pt idx="18">
                  <c:v>9.9517782036231939</c:v>
                </c:pt>
                <c:pt idx="19">
                  <c:v>9.7057658018102249</c:v>
                </c:pt>
                <c:pt idx="20">
                  <c:v>9.4774047795703886</c:v>
                </c:pt>
                <c:pt idx="21">
                  <c:v>9.2646747485458825</c:v>
                </c:pt>
                <c:pt idx="22">
                  <c:v>9.06586528999755</c:v>
                </c:pt>
                <c:pt idx="23">
                  <c:v>8.8795173385367399</c:v>
                </c:pt>
                <c:pt idx="24">
                  <c:v>8.7043775730777835</c:v>
                </c:pt>
                <c:pt idx="25">
                  <c:v>8.5393625351105076</c:v>
                </c:pt>
                <c:pt idx="26">
                  <c:v>8.3835301132711422</c:v>
                </c:pt>
                <c:pt idx="27">
                  <c:v>7.9633769410445652</c:v>
                </c:pt>
                <c:pt idx="28">
                  <c:v>7.3863050520218163</c:v>
                </c:pt>
                <c:pt idx="29">
                  <c:v>6.9203358200473843</c:v>
                </c:pt>
                <c:pt idx="30">
                  <c:v>6.5337834850015399</c:v>
                </c:pt>
                <c:pt idx="31">
                  <c:v>6.2063331364282917</c:v>
                </c:pt>
                <c:pt idx="32">
                  <c:v>5.092165955401061</c:v>
                </c:pt>
                <c:pt idx="33">
                  <c:v>4.4251953315379957</c:v>
                </c:pt>
                <c:pt idx="34">
                  <c:v>4.0484799937656435</c:v>
                </c:pt>
                <c:pt idx="35">
                  <c:v>3.1552211735664586</c:v>
                </c:pt>
                <c:pt idx="36">
                  <c:v>2.8296825806542421</c:v>
                </c:pt>
                <c:pt idx="37">
                  <c:v>2.5887926878256677</c:v>
                </c:pt>
                <c:pt idx="38">
                  <c:v>2.4011939470261519</c:v>
                </c:pt>
                <c:pt idx="39">
                  <c:v>2.2497132687388173</c:v>
                </c:pt>
                <c:pt idx="40">
                  <c:v>2.1240500148407353</c:v>
                </c:pt>
                <c:pt idx="41">
                  <c:v>2.0176000659951394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E62-4A1A-893A-29D4B4876667}"/>
            </c:ext>
          </c:extLst>
        </c:ser>
        <c:ser>
          <c:idx val="4"/>
          <c:order val="1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Baselines!$R$5:$R$46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20.634765218670768</c:v>
                </c:pt>
                <c:pt idx="2">
                  <c:v>20.035742595898629</c:v>
                </c:pt>
                <c:pt idx="3">
                  <c:v>19.483430308554819</c:v>
                </c:pt>
                <c:pt idx="4">
                  <c:v>18.971961082235595</c:v>
                </c:pt>
                <c:pt idx="5">
                  <c:v>17.247721844635766</c:v>
                </c:pt>
                <c:pt idx="6">
                  <c:v>15.896600929344526</c:v>
                </c:pt>
                <c:pt idx="7">
                  <c:v>14.798890187750452</c:v>
                </c:pt>
                <c:pt idx="8">
                  <c:v>13.882696088643071</c:v>
                </c:pt>
                <c:pt idx="9">
                  <c:v>13.101866916551364</c:v>
                </c:pt>
                <c:pt idx="10">
                  <c:v>12.425225043868876</c:v>
                </c:pt>
                <c:pt idx="11">
                  <c:v>11.83084059269579</c:v>
                </c:pt>
                <c:pt idx="12">
                  <c:v>11.302774268905617</c:v>
                </c:pt>
                <c:pt idx="13">
                  <c:v>10.829121852191079</c:v>
                </c:pt>
                <c:pt idx="14">
                  <c:v>10.400786866670622</c:v>
                </c:pt>
                <c:pt idx="15">
                  <c:v>10.010681100752043</c:v>
                </c:pt>
                <c:pt idx="16">
                  <c:v>9.6531871034726695</c:v>
                </c:pt>
                <c:pt idx="17">
                  <c:v>9.3237868410268234</c:v>
                </c:pt>
                <c:pt idx="18">
                  <c:v>9.0187989970335192</c:v>
                </c:pt>
                <c:pt idx="19">
                  <c:v>8.7351892216292022</c:v>
                </c:pt>
                <c:pt idx="20">
                  <c:v>8.5296643016133498</c:v>
                </c:pt>
                <c:pt idx="21">
                  <c:v>8.3382072736912942</c:v>
                </c:pt>
                <c:pt idx="22">
                  <c:v>8.159278760997795</c:v>
                </c:pt>
                <c:pt idx="23">
                  <c:v>7.9915656046830659</c:v>
                </c:pt>
                <c:pt idx="24">
                  <c:v>7.8339398157700053</c:v>
                </c:pt>
                <c:pt idx="25">
                  <c:v>7.6854262815994572</c:v>
                </c:pt>
                <c:pt idx="26">
                  <c:v>7.5451771019440281</c:v>
                </c:pt>
                <c:pt idx="27">
                  <c:v>7.1670392469401092</c:v>
                </c:pt>
                <c:pt idx="28">
                  <c:v>6.6476745468196352</c:v>
                </c:pt>
                <c:pt idx="29">
                  <c:v>6.2283022380426463</c:v>
                </c:pt>
                <c:pt idx="30">
                  <c:v>5.8804051365013859</c:v>
                </c:pt>
                <c:pt idx="31">
                  <c:v>5.5856998227854628</c:v>
                </c:pt>
                <c:pt idx="32">
                  <c:v>4.5829493598609554</c:v>
                </c:pt>
                <c:pt idx="33">
                  <c:v>3.9826757983841961</c:v>
                </c:pt>
                <c:pt idx="34">
                  <c:v>3.6436319943890791</c:v>
                </c:pt>
                <c:pt idx="35">
                  <c:v>2.8396990562098128</c:v>
                </c:pt>
                <c:pt idx="36">
                  <c:v>2.546714322588818</c:v>
                </c:pt>
                <c:pt idx="37">
                  <c:v>2.329913419043101</c:v>
                </c:pt>
                <c:pt idx="38">
                  <c:v>2.1610745523235368</c:v>
                </c:pt>
                <c:pt idx="39">
                  <c:v>2.0247419418649355</c:v>
                </c:pt>
                <c:pt idx="40">
                  <c:v>1.9116450133566618</c:v>
                </c:pt>
                <c:pt idx="41">
                  <c:v>1.8158400593956254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E62-4A1A-893A-29D4B4876667}"/>
            </c:ext>
          </c:extLst>
        </c:ser>
        <c:ser>
          <c:idx val="5"/>
          <c:order val="2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Baselines!$S$5:$S$46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20.602472941333257</c:v>
                </c:pt>
                <c:pt idx="2">
                  <c:v>19.972934625378571</c:v>
                </c:pt>
                <c:pt idx="3">
                  <c:v>19.391671610084387</c:v>
                </c:pt>
                <c:pt idx="4">
                  <c:v>18.852640572284425</c:v>
                </c:pt>
                <c:pt idx="5">
                  <c:v>17.029396251665691</c:v>
                </c:pt>
                <c:pt idx="6">
                  <c:v>15.592844223688262</c:v>
                </c:pt>
                <c:pt idx="7">
                  <c:v>14.419431464987619</c:v>
                </c:pt>
                <c:pt idx="8">
                  <c:v>13.434867182557809</c:v>
                </c:pt>
                <c:pt idx="9">
                  <c:v>12.59140456915326</c:v>
                </c:pt>
                <c:pt idx="10">
                  <c:v>11.856750695456574</c:v>
                </c:pt>
                <c:pt idx="11">
                  <c:v>11.20816477202759</c:v>
                </c:pt>
                <c:pt idx="12">
                  <c:v>10.629098981354952</c:v>
                </c:pt>
                <c:pt idx="13">
                  <c:v>10.107180395378339</c:v>
                </c:pt>
                <c:pt idx="14">
                  <c:v>9.6329435409432609</c:v>
                </c:pt>
                <c:pt idx="15">
                  <c:v>9.1990042547451196</c:v>
                </c:pt>
                <c:pt idx="16">
                  <c:v>8.7995038902403948</c:v>
                </c:pt>
                <c:pt idx="17">
                  <c:v>8.4297250891475386</c:v>
                </c:pt>
                <c:pt idx="18">
                  <c:v>8.0858197904438445</c:v>
                </c:pt>
                <c:pt idx="19">
                  <c:v>7.7646126414481804</c:v>
                </c:pt>
                <c:pt idx="20">
                  <c:v>7.5819238236563109</c:v>
                </c:pt>
                <c:pt idx="21">
                  <c:v>7.411739798836706</c:v>
                </c:pt>
                <c:pt idx="22">
                  <c:v>7.25269223199804</c:v>
                </c:pt>
                <c:pt idx="23">
                  <c:v>7.1036138708293919</c:v>
                </c:pt>
                <c:pt idx="24">
                  <c:v>6.9635020584622271</c:v>
                </c:pt>
                <c:pt idx="25">
                  <c:v>6.8314900280884068</c:v>
                </c:pt>
                <c:pt idx="26">
                  <c:v>6.7068240906169141</c:v>
                </c:pt>
                <c:pt idx="27">
                  <c:v>6.3707015528356523</c:v>
                </c:pt>
                <c:pt idx="28">
                  <c:v>5.9090440416174532</c:v>
                </c:pt>
                <c:pt idx="29">
                  <c:v>5.5362686560379082</c:v>
                </c:pt>
                <c:pt idx="30">
                  <c:v>5.2270267880012327</c:v>
                </c:pt>
                <c:pt idx="31">
                  <c:v>4.965066509142634</c:v>
                </c:pt>
                <c:pt idx="32">
                  <c:v>4.073732764320849</c:v>
                </c:pt>
                <c:pt idx="33">
                  <c:v>3.5401562652303968</c:v>
                </c:pt>
                <c:pt idx="34">
                  <c:v>3.2387839950125148</c:v>
                </c:pt>
                <c:pt idx="35">
                  <c:v>2.524176938853167</c:v>
                </c:pt>
                <c:pt idx="36">
                  <c:v>2.2637460645233936</c:v>
                </c:pt>
                <c:pt idx="37">
                  <c:v>2.0710341502605343</c:v>
                </c:pt>
                <c:pt idx="38">
                  <c:v>1.9209551576209216</c:v>
                </c:pt>
                <c:pt idx="39">
                  <c:v>1.799770614991054</c:v>
                </c:pt>
                <c:pt idx="40">
                  <c:v>1.6992400118725883</c:v>
                </c:pt>
                <c:pt idx="41">
                  <c:v>1.6140800527961117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E62-4A1A-893A-29D4B4876667}"/>
            </c:ext>
          </c:extLst>
        </c:ser>
        <c:ser>
          <c:idx val="6"/>
          <c:order val="3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Baselines!$T$5:$T$46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20.570180663995746</c:v>
                </c:pt>
                <c:pt idx="2">
                  <c:v>19.910126654858512</c:v>
                </c:pt>
                <c:pt idx="3">
                  <c:v>19.299912911613955</c:v>
                </c:pt>
                <c:pt idx="4">
                  <c:v>18.733320062333259</c:v>
                </c:pt>
                <c:pt idx="5">
                  <c:v>16.81107065869562</c:v>
                </c:pt>
                <c:pt idx="6">
                  <c:v>15.289087518031996</c:v>
                </c:pt>
                <c:pt idx="7">
                  <c:v>14.039972742224789</c:v>
                </c:pt>
                <c:pt idx="8">
                  <c:v>12.98703827647255</c:v>
                </c:pt>
                <c:pt idx="9">
                  <c:v>12.080942221755153</c:v>
                </c:pt>
                <c:pt idx="10">
                  <c:v>11.288276347044274</c:v>
                </c:pt>
                <c:pt idx="11">
                  <c:v>10.585488951359391</c:v>
                </c:pt>
                <c:pt idx="12">
                  <c:v>9.9554236938042866</c:v>
                </c:pt>
                <c:pt idx="13">
                  <c:v>9.3852389385656014</c:v>
                </c:pt>
                <c:pt idx="14">
                  <c:v>8.8651002152158984</c:v>
                </c:pt>
                <c:pt idx="15">
                  <c:v>8.3873274087381979</c:v>
                </c:pt>
                <c:pt idx="16">
                  <c:v>7.9458206770081174</c:v>
                </c:pt>
                <c:pt idx="17">
                  <c:v>7.5356633372682555</c:v>
                </c:pt>
                <c:pt idx="18">
                  <c:v>7.1528405838541707</c:v>
                </c:pt>
                <c:pt idx="19">
                  <c:v>6.7940360612671569</c:v>
                </c:pt>
                <c:pt idx="20">
                  <c:v>6.634183345699272</c:v>
                </c:pt>
                <c:pt idx="21">
                  <c:v>6.4852723239821177</c:v>
                </c:pt>
                <c:pt idx="22">
                  <c:v>6.346105702998285</c:v>
                </c:pt>
                <c:pt idx="23">
                  <c:v>6.2156621369757179</c:v>
                </c:pt>
                <c:pt idx="24">
                  <c:v>6.0930643011544481</c:v>
                </c:pt>
                <c:pt idx="25">
                  <c:v>5.9775537745773546</c:v>
                </c:pt>
                <c:pt idx="26">
                  <c:v>5.8684710792897992</c:v>
                </c:pt>
                <c:pt idx="27">
                  <c:v>5.5743638587311954</c:v>
                </c:pt>
                <c:pt idx="28">
                  <c:v>5.1704135364152712</c:v>
                </c:pt>
                <c:pt idx="29">
                  <c:v>4.8442350740331683</c:v>
                </c:pt>
                <c:pt idx="30">
                  <c:v>4.5736484395010777</c:v>
                </c:pt>
                <c:pt idx="31">
                  <c:v>4.3444331954998034</c:v>
                </c:pt>
                <c:pt idx="32">
                  <c:v>3.5645161687807425</c:v>
                </c:pt>
                <c:pt idx="33">
                  <c:v>3.0976367320765967</c:v>
                </c:pt>
                <c:pt idx="34">
                  <c:v>2.8339359956359504</c:v>
                </c:pt>
                <c:pt idx="35">
                  <c:v>2.2086548214965207</c:v>
                </c:pt>
                <c:pt idx="36">
                  <c:v>1.9807778064579693</c:v>
                </c:pt>
                <c:pt idx="37">
                  <c:v>1.8121548814779673</c:v>
                </c:pt>
                <c:pt idx="38">
                  <c:v>1.6808357629183062</c:v>
                </c:pt>
                <c:pt idx="39">
                  <c:v>1.574799288117172</c:v>
                </c:pt>
                <c:pt idx="40">
                  <c:v>1.4868350103885146</c:v>
                </c:pt>
                <c:pt idx="41">
                  <c:v>1.4123200461965975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E62-4A1A-893A-29D4B4876667}"/>
            </c:ext>
          </c:extLst>
        </c:ser>
        <c:ser>
          <c:idx val="1"/>
          <c:order val="4"/>
          <c:tx>
            <c:strRef>
              <c:f>Tankers!$D$8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Tankers!$D$12</c:f>
              <c:numCache>
                <c:formatCode>#,##0</c:formatCode>
                <c:ptCount val="1"/>
                <c:pt idx="0">
                  <c:v>120000</c:v>
                </c:pt>
              </c:numCache>
            </c:numRef>
          </c:xVal>
          <c:yVal>
            <c:numRef>
              <c:f>Tankers!$D$35</c:f>
              <c:numCache>
                <c:formatCode>0.00</c:formatCode>
                <c:ptCount val="1"/>
                <c:pt idx="0">
                  <c:v>3.8201284601035432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62-4A1A-893A-29D4B4876667}"/>
            </c:ext>
          </c:extLst>
        </c:ser>
        <c:ser>
          <c:idx val="2"/>
          <c:order val="5"/>
          <c:tx>
            <c:strRef>
              <c:f>Tankers!$E$8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Tankers!$E$12</c:f>
              <c:numCache>
                <c:formatCode>#,##0</c:formatCode>
                <c:ptCount val="1"/>
                <c:pt idx="0">
                  <c:v>75000</c:v>
                </c:pt>
              </c:numCache>
            </c:numRef>
          </c:xVal>
          <c:yVal>
            <c:numRef>
              <c:f>Tankers!$E$35</c:f>
              <c:numCache>
                <c:formatCode>0.00</c:formatCode>
                <c:ptCount val="1"/>
                <c:pt idx="0">
                  <c:v>6.0001430305200767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62-4A1A-893A-29D4B4876667}"/>
            </c:ext>
          </c:extLst>
        </c:ser>
        <c:ser>
          <c:idx val="3"/>
          <c:order val="6"/>
          <c:tx>
            <c:strRef>
              <c:f>Tankers!$F$8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Tankers!$F$12</c:f>
              <c:numCache>
                <c:formatCode>#,##0</c:formatCode>
                <c:ptCount val="1"/>
                <c:pt idx="0">
                  <c:v>13000</c:v>
                </c:pt>
              </c:numCache>
            </c:numRef>
          </c:xVal>
          <c:yVal>
            <c:numRef>
              <c:f>Tankers!$F$35</c:f>
              <c:numCache>
                <c:formatCode>0.00</c:formatCode>
                <c:ptCount val="1"/>
                <c:pt idx="0">
                  <c:v>11.53107862202237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62-4A1A-893A-29D4B487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179224"/>
        <c:axId val="380173736"/>
      </c:scatterChart>
      <c:valAx>
        <c:axId val="380179224"/>
        <c:scaling>
          <c:orientation val="minMax"/>
          <c:max val="500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380173736"/>
        <c:crosses val="autoZero"/>
        <c:crossBetween val="midCat"/>
        <c:majorUnit val="100000"/>
        <c:minorUnit val="10000"/>
      </c:valAx>
      <c:valAx>
        <c:axId val="380173736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380179224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TANKERS - </a:t>
            </a:r>
            <a:r>
              <a:rPr lang="sv-SE" sz="1000" b="1" i="0" u="none" strike="noStrike" baseline="0">
                <a:effectLst/>
              </a:rPr>
              <a:t>Res MEPC.203(62)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Baselines!$Q$5:$Q$46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20.667057496008283</c:v>
                </c:pt>
                <c:pt idx="2">
                  <c:v>20.098550566418687</c:v>
                </c:pt>
                <c:pt idx="3">
                  <c:v>19.575189007025248</c:v>
                </c:pt>
                <c:pt idx="4">
                  <c:v>19.09128159218676</c:v>
                </c:pt>
                <c:pt idx="5">
                  <c:v>17.466047437605837</c:v>
                </c:pt>
                <c:pt idx="6">
                  <c:v>16.200357635000792</c:v>
                </c:pt>
                <c:pt idx="7">
                  <c:v>15.178348910513284</c:v>
                </c:pt>
                <c:pt idx="8">
                  <c:v>14.33052499472833</c:v>
                </c:pt>
                <c:pt idx="9">
                  <c:v>13.612329263949469</c:v>
                </c:pt>
                <c:pt idx="10">
                  <c:v>12.993699392281178</c:v>
                </c:pt>
                <c:pt idx="11">
                  <c:v>12.453516413363989</c:v>
                </c:pt>
                <c:pt idx="12">
                  <c:v>11.976449556456284</c:v>
                </c:pt>
                <c:pt idx="13">
                  <c:v>11.551063309003817</c:v>
                </c:pt>
                <c:pt idx="14">
                  <c:v>11.168630192397982</c:v>
                </c:pt>
                <c:pt idx="15">
                  <c:v>10.822357946758965</c:v>
                </c:pt>
                <c:pt idx="16">
                  <c:v>10.506870316704948</c:v>
                </c:pt>
                <c:pt idx="17">
                  <c:v>10.217848592906108</c:v>
                </c:pt>
                <c:pt idx="18">
                  <c:v>9.9517782036231939</c:v>
                </c:pt>
                <c:pt idx="19">
                  <c:v>9.7057658018102249</c:v>
                </c:pt>
                <c:pt idx="20">
                  <c:v>9.4774047795703886</c:v>
                </c:pt>
                <c:pt idx="21">
                  <c:v>9.2646747485458825</c:v>
                </c:pt>
                <c:pt idx="22">
                  <c:v>9.06586528999755</c:v>
                </c:pt>
                <c:pt idx="23">
                  <c:v>8.8795173385367399</c:v>
                </c:pt>
                <c:pt idx="24">
                  <c:v>8.7043775730777835</c:v>
                </c:pt>
                <c:pt idx="25">
                  <c:v>8.5393625351105076</c:v>
                </c:pt>
                <c:pt idx="26">
                  <c:v>8.3835301132711422</c:v>
                </c:pt>
                <c:pt idx="27">
                  <c:v>7.9633769410445652</c:v>
                </c:pt>
                <c:pt idx="28">
                  <c:v>7.3863050520218163</c:v>
                </c:pt>
                <c:pt idx="29">
                  <c:v>6.9203358200473843</c:v>
                </c:pt>
                <c:pt idx="30">
                  <c:v>6.5337834850015399</c:v>
                </c:pt>
                <c:pt idx="31">
                  <c:v>6.2063331364282917</c:v>
                </c:pt>
                <c:pt idx="32">
                  <c:v>5.092165955401061</c:v>
                </c:pt>
                <c:pt idx="33">
                  <c:v>4.4251953315379957</c:v>
                </c:pt>
                <c:pt idx="34">
                  <c:v>4.0484799937656435</c:v>
                </c:pt>
                <c:pt idx="35">
                  <c:v>3.1552211735664586</c:v>
                </c:pt>
                <c:pt idx="36">
                  <c:v>2.8296825806542421</c:v>
                </c:pt>
                <c:pt idx="37">
                  <c:v>2.5887926878256677</c:v>
                </c:pt>
                <c:pt idx="38">
                  <c:v>2.4011939470261519</c:v>
                </c:pt>
                <c:pt idx="39">
                  <c:v>2.2497132687388173</c:v>
                </c:pt>
                <c:pt idx="40">
                  <c:v>2.1240500148407353</c:v>
                </c:pt>
                <c:pt idx="41">
                  <c:v>2.0176000659951394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57-4597-9696-C0C21F6D1AE7}"/>
            </c:ext>
          </c:extLst>
        </c:ser>
        <c:ser>
          <c:idx val="4"/>
          <c:order val="1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Baselines!$R$5:$R$46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20.634765218670768</c:v>
                </c:pt>
                <c:pt idx="2">
                  <c:v>20.035742595898629</c:v>
                </c:pt>
                <c:pt idx="3">
                  <c:v>19.483430308554819</c:v>
                </c:pt>
                <c:pt idx="4">
                  <c:v>18.971961082235595</c:v>
                </c:pt>
                <c:pt idx="5">
                  <c:v>17.247721844635766</c:v>
                </c:pt>
                <c:pt idx="6">
                  <c:v>15.896600929344526</c:v>
                </c:pt>
                <c:pt idx="7">
                  <c:v>14.798890187750452</c:v>
                </c:pt>
                <c:pt idx="8">
                  <c:v>13.882696088643071</c:v>
                </c:pt>
                <c:pt idx="9">
                  <c:v>13.101866916551364</c:v>
                </c:pt>
                <c:pt idx="10">
                  <c:v>12.425225043868876</c:v>
                </c:pt>
                <c:pt idx="11">
                  <c:v>11.83084059269579</c:v>
                </c:pt>
                <c:pt idx="12">
                  <c:v>11.302774268905617</c:v>
                </c:pt>
                <c:pt idx="13">
                  <c:v>10.829121852191079</c:v>
                </c:pt>
                <c:pt idx="14">
                  <c:v>10.400786866670622</c:v>
                </c:pt>
                <c:pt idx="15">
                  <c:v>10.010681100752043</c:v>
                </c:pt>
                <c:pt idx="16">
                  <c:v>9.6531871034726695</c:v>
                </c:pt>
                <c:pt idx="17">
                  <c:v>9.3237868410268234</c:v>
                </c:pt>
                <c:pt idx="18">
                  <c:v>9.0187989970335192</c:v>
                </c:pt>
                <c:pt idx="19">
                  <c:v>8.7351892216292022</c:v>
                </c:pt>
                <c:pt idx="20">
                  <c:v>8.5296643016133498</c:v>
                </c:pt>
                <c:pt idx="21">
                  <c:v>8.3382072736912942</c:v>
                </c:pt>
                <c:pt idx="22">
                  <c:v>8.159278760997795</c:v>
                </c:pt>
                <c:pt idx="23">
                  <c:v>7.9915656046830659</c:v>
                </c:pt>
                <c:pt idx="24">
                  <c:v>7.8339398157700053</c:v>
                </c:pt>
                <c:pt idx="25">
                  <c:v>7.6854262815994572</c:v>
                </c:pt>
                <c:pt idx="26">
                  <c:v>7.5451771019440281</c:v>
                </c:pt>
                <c:pt idx="27">
                  <c:v>7.1670392469401092</c:v>
                </c:pt>
                <c:pt idx="28">
                  <c:v>6.6476745468196352</c:v>
                </c:pt>
                <c:pt idx="29">
                  <c:v>6.2283022380426463</c:v>
                </c:pt>
                <c:pt idx="30">
                  <c:v>5.8804051365013859</c:v>
                </c:pt>
                <c:pt idx="31">
                  <c:v>5.5856998227854628</c:v>
                </c:pt>
                <c:pt idx="32">
                  <c:v>4.5829493598609554</c:v>
                </c:pt>
                <c:pt idx="33">
                  <c:v>3.9826757983841961</c:v>
                </c:pt>
                <c:pt idx="34">
                  <c:v>3.6436319943890791</c:v>
                </c:pt>
                <c:pt idx="35">
                  <c:v>2.8396990562098128</c:v>
                </c:pt>
                <c:pt idx="36">
                  <c:v>2.546714322588818</c:v>
                </c:pt>
                <c:pt idx="37">
                  <c:v>2.329913419043101</c:v>
                </c:pt>
                <c:pt idx="38">
                  <c:v>2.1610745523235368</c:v>
                </c:pt>
                <c:pt idx="39">
                  <c:v>2.0247419418649355</c:v>
                </c:pt>
                <c:pt idx="40">
                  <c:v>1.9116450133566618</c:v>
                </c:pt>
                <c:pt idx="41">
                  <c:v>1.8158400593956254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57-4597-9696-C0C21F6D1AE7}"/>
            </c:ext>
          </c:extLst>
        </c:ser>
        <c:ser>
          <c:idx val="5"/>
          <c:order val="2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Baselines!$S$5:$S$46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20.602472941333257</c:v>
                </c:pt>
                <c:pt idx="2">
                  <c:v>19.972934625378571</c:v>
                </c:pt>
                <c:pt idx="3">
                  <c:v>19.391671610084387</c:v>
                </c:pt>
                <c:pt idx="4">
                  <c:v>18.852640572284425</c:v>
                </c:pt>
                <c:pt idx="5">
                  <c:v>17.029396251665691</c:v>
                </c:pt>
                <c:pt idx="6">
                  <c:v>15.592844223688262</c:v>
                </c:pt>
                <c:pt idx="7">
                  <c:v>14.419431464987619</c:v>
                </c:pt>
                <c:pt idx="8">
                  <c:v>13.434867182557809</c:v>
                </c:pt>
                <c:pt idx="9">
                  <c:v>12.59140456915326</c:v>
                </c:pt>
                <c:pt idx="10">
                  <c:v>11.856750695456574</c:v>
                </c:pt>
                <c:pt idx="11">
                  <c:v>11.20816477202759</c:v>
                </c:pt>
                <c:pt idx="12">
                  <c:v>10.629098981354952</c:v>
                </c:pt>
                <c:pt idx="13">
                  <c:v>10.107180395378339</c:v>
                </c:pt>
                <c:pt idx="14">
                  <c:v>9.6329435409432609</c:v>
                </c:pt>
                <c:pt idx="15">
                  <c:v>9.1990042547451196</c:v>
                </c:pt>
                <c:pt idx="16">
                  <c:v>8.7995038902403948</c:v>
                </c:pt>
                <c:pt idx="17">
                  <c:v>8.4297250891475386</c:v>
                </c:pt>
                <c:pt idx="18">
                  <c:v>8.0858197904438445</c:v>
                </c:pt>
                <c:pt idx="19">
                  <c:v>7.7646126414481804</c:v>
                </c:pt>
                <c:pt idx="20">
                  <c:v>7.5819238236563109</c:v>
                </c:pt>
                <c:pt idx="21">
                  <c:v>7.411739798836706</c:v>
                </c:pt>
                <c:pt idx="22">
                  <c:v>7.25269223199804</c:v>
                </c:pt>
                <c:pt idx="23">
                  <c:v>7.1036138708293919</c:v>
                </c:pt>
                <c:pt idx="24">
                  <c:v>6.9635020584622271</c:v>
                </c:pt>
                <c:pt idx="25">
                  <c:v>6.8314900280884068</c:v>
                </c:pt>
                <c:pt idx="26">
                  <c:v>6.7068240906169141</c:v>
                </c:pt>
                <c:pt idx="27">
                  <c:v>6.3707015528356523</c:v>
                </c:pt>
                <c:pt idx="28">
                  <c:v>5.9090440416174532</c:v>
                </c:pt>
                <c:pt idx="29">
                  <c:v>5.5362686560379082</c:v>
                </c:pt>
                <c:pt idx="30">
                  <c:v>5.2270267880012327</c:v>
                </c:pt>
                <c:pt idx="31">
                  <c:v>4.965066509142634</c:v>
                </c:pt>
                <c:pt idx="32">
                  <c:v>4.073732764320849</c:v>
                </c:pt>
                <c:pt idx="33">
                  <c:v>3.5401562652303968</c:v>
                </c:pt>
                <c:pt idx="34">
                  <c:v>3.2387839950125148</c:v>
                </c:pt>
                <c:pt idx="35">
                  <c:v>2.524176938853167</c:v>
                </c:pt>
                <c:pt idx="36">
                  <c:v>2.2637460645233936</c:v>
                </c:pt>
                <c:pt idx="37">
                  <c:v>2.0710341502605343</c:v>
                </c:pt>
                <c:pt idx="38">
                  <c:v>1.9209551576209216</c:v>
                </c:pt>
                <c:pt idx="39">
                  <c:v>1.799770614991054</c:v>
                </c:pt>
                <c:pt idx="40">
                  <c:v>1.6992400118725883</c:v>
                </c:pt>
                <c:pt idx="41">
                  <c:v>1.6140800527961117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57-4597-9696-C0C21F6D1AE7}"/>
            </c:ext>
          </c:extLst>
        </c:ser>
        <c:ser>
          <c:idx val="6"/>
          <c:order val="3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Baselines!$P$5:$P$46</c:f>
              <c:numCache>
                <c:formatCode>#,##0</c:formatCode>
                <c:ptCount val="42"/>
                <c:pt idx="0">
                  <c:v>4000</c:v>
                </c:pt>
                <c:pt idx="1">
                  <c:v>4250</c:v>
                </c:pt>
                <c:pt idx="2">
                  <c:v>4500</c:v>
                </c:pt>
                <c:pt idx="3">
                  <c:v>4750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  <c:pt idx="13">
                  <c:v>14000</c:v>
                </c:pt>
                <c:pt idx="14">
                  <c:v>15000</c:v>
                </c:pt>
                <c:pt idx="15">
                  <c:v>16000</c:v>
                </c:pt>
                <c:pt idx="16">
                  <c:v>17000</c:v>
                </c:pt>
                <c:pt idx="17">
                  <c:v>18000</c:v>
                </c:pt>
                <c:pt idx="18">
                  <c:v>19000</c:v>
                </c:pt>
                <c:pt idx="19">
                  <c:v>20000</c:v>
                </c:pt>
                <c:pt idx="20">
                  <c:v>21000</c:v>
                </c:pt>
                <c:pt idx="21">
                  <c:v>22000</c:v>
                </c:pt>
                <c:pt idx="22">
                  <c:v>23000</c:v>
                </c:pt>
                <c:pt idx="23">
                  <c:v>24000</c:v>
                </c:pt>
                <c:pt idx="24">
                  <c:v>25000</c:v>
                </c:pt>
                <c:pt idx="25">
                  <c:v>26000</c:v>
                </c:pt>
                <c:pt idx="26">
                  <c:v>27000</c:v>
                </c:pt>
                <c:pt idx="27">
                  <c:v>30000</c:v>
                </c:pt>
                <c:pt idx="28">
                  <c:v>35000</c:v>
                </c:pt>
                <c:pt idx="29">
                  <c:v>40000</c:v>
                </c:pt>
                <c:pt idx="30">
                  <c:v>45000</c:v>
                </c:pt>
                <c:pt idx="31">
                  <c:v>50000</c:v>
                </c:pt>
                <c:pt idx="32">
                  <c:v>75000</c:v>
                </c:pt>
                <c:pt idx="33">
                  <c:v>100000</c:v>
                </c:pt>
                <c:pt idx="34">
                  <c:v>120000</c:v>
                </c:pt>
                <c:pt idx="35">
                  <c:v>200000</c:v>
                </c:pt>
                <c:pt idx="36">
                  <c:v>250000</c:v>
                </c:pt>
                <c:pt idx="37">
                  <c:v>300000</c:v>
                </c:pt>
                <c:pt idx="38">
                  <c:v>350000</c:v>
                </c:pt>
                <c:pt idx="39">
                  <c:v>400000</c:v>
                </c:pt>
                <c:pt idx="40">
                  <c:v>450000</c:v>
                </c:pt>
                <c:pt idx="41">
                  <c:v>500000</c:v>
                </c:pt>
              </c:numCache>
            </c:numRef>
          </c:xVal>
          <c:yVal>
            <c:numRef>
              <c:f>Baselines!$T$5:$T$46</c:f>
              <c:numCache>
                <c:formatCode>#,##0.00</c:formatCode>
                <c:ptCount val="42"/>
                <c:pt idx="0">
                  <c:v>21.287622972983787</c:v>
                </c:pt>
                <c:pt idx="1">
                  <c:v>20.570180663995746</c:v>
                </c:pt>
                <c:pt idx="2">
                  <c:v>19.910126654858512</c:v>
                </c:pt>
                <c:pt idx="3">
                  <c:v>19.299912911613955</c:v>
                </c:pt>
                <c:pt idx="4">
                  <c:v>18.733320062333259</c:v>
                </c:pt>
                <c:pt idx="5">
                  <c:v>16.81107065869562</c:v>
                </c:pt>
                <c:pt idx="6">
                  <c:v>15.289087518031996</c:v>
                </c:pt>
                <c:pt idx="7">
                  <c:v>14.039972742224789</c:v>
                </c:pt>
                <c:pt idx="8">
                  <c:v>12.98703827647255</c:v>
                </c:pt>
                <c:pt idx="9">
                  <c:v>12.080942221755153</c:v>
                </c:pt>
                <c:pt idx="10">
                  <c:v>11.288276347044274</c:v>
                </c:pt>
                <c:pt idx="11">
                  <c:v>10.585488951359391</c:v>
                </c:pt>
                <c:pt idx="12">
                  <c:v>9.9554236938042866</c:v>
                </c:pt>
                <c:pt idx="13">
                  <c:v>9.3852389385656014</c:v>
                </c:pt>
                <c:pt idx="14">
                  <c:v>8.8651002152158984</c:v>
                </c:pt>
                <c:pt idx="15">
                  <c:v>8.3873274087381979</c:v>
                </c:pt>
                <c:pt idx="16">
                  <c:v>7.9458206770081174</c:v>
                </c:pt>
                <c:pt idx="17">
                  <c:v>7.5356633372682555</c:v>
                </c:pt>
                <c:pt idx="18">
                  <c:v>7.1528405838541707</c:v>
                </c:pt>
                <c:pt idx="19">
                  <c:v>6.7940360612671569</c:v>
                </c:pt>
                <c:pt idx="20">
                  <c:v>6.634183345699272</c:v>
                </c:pt>
                <c:pt idx="21">
                  <c:v>6.4852723239821177</c:v>
                </c:pt>
                <c:pt idx="22">
                  <c:v>6.346105702998285</c:v>
                </c:pt>
                <c:pt idx="23">
                  <c:v>6.2156621369757179</c:v>
                </c:pt>
                <c:pt idx="24">
                  <c:v>6.0930643011544481</c:v>
                </c:pt>
                <c:pt idx="25">
                  <c:v>5.9775537745773546</c:v>
                </c:pt>
                <c:pt idx="26">
                  <c:v>5.8684710792897992</c:v>
                </c:pt>
                <c:pt idx="27">
                  <c:v>5.5743638587311954</c:v>
                </c:pt>
                <c:pt idx="28">
                  <c:v>5.1704135364152712</c:v>
                </c:pt>
                <c:pt idx="29">
                  <c:v>4.8442350740331683</c:v>
                </c:pt>
                <c:pt idx="30">
                  <c:v>4.5736484395010777</c:v>
                </c:pt>
                <c:pt idx="31">
                  <c:v>4.3444331954998034</c:v>
                </c:pt>
                <c:pt idx="32">
                  <c:v>3.5645161687807425</c:v>
                </c:pt>
                <c:pt idx="33">
                  <c:v>3.0976367320765967</c:v>
                </c:pt>
                <c:pt idx="34">
                  <c:v>2.8339359956359504</c:v>
                </c:pt>
                <c:pt idx="35">
                  <c:v>2.2086548214965207</c:v>
                </c:pt>
                <c:pt idx="36">
                  <c:v>1.9807778064579693</c:v>
                </c:pt>
                <c:pt idx="37">
                  <c:v>1.8121548814779673</c:v>
                </c:pt>
                <c:pt idx="38">
                  <c:v>1.6808357629183062</c:v>
                </c:pt>
                <c:pt idx="39">
                  <c:v>1.574799288117172</c:v>
                </c:pt>
                <c:pt idx="40">
                  <c:v>1.4868350103885146</c:v>
                </c:pt>
                <c:pt idx="41">
                  <c:v>1.4123200461965975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57-4597-9696-C0C21F6D1AE7}"/>
            </c:ext>
          </c:extLst>
        </c:ser>
        <c:ser>
          <c:idx val="1"/>
          <c:order val="4"/>
          <c:tx>
            <c:strRef>
              <c:f>Tankers!$D$8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Tankers!$D$12</c:f>
              <c:numCache>
                <c:formatCode>#,##0</c:formatCode>
                <c:ptCount val="1"/>
                <c:pt idx="0">
                  <c:v>120000</c:v>
                </c:pt>
              </c:numCache>
            </c:numRef>
          </c:xVal>
          <c:yVal>
            <c:numRef>
              <c:f>Tankers!$D$35</c:f>
              <c:numCache>
                <c:formatCode>0.00</c:formatCode>
                <c:ptCount val="1"/>
                <c:pt idx="0">
                  <c:v>3.8201284601035432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7-4597-9696-C0C21F6D1AE7}"/>
            </c:ext>
          </c:extLst>
        </c:ser>
        <c:ser>
          <c:idx val="2"/>
          <c:order val="5"/>
          <c:tx>
            <c:strRef>
              <c:f>Tankers!$E$8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Tankers!$E$12</c:f>
              <c:numCache>
                <c:formatCode>#,##0</c:formatCode>
                <c:ptCount val="1"/>
                <c:pt idx="0">
                  <c:v>75000</c:v>
                </c:pt>
              </c:numCache>
            </c:numRef>
          </c:xVal>
          <c:yVal>
            <c:numRef>
              <c:f>Tankers!$E$35</c:f>
              <c:numCache>
                <c:formatCode>0.00</c:formatCode>
                <c:ptCount val="1"/>
                <c:pt idx="0">
                  <c:v>6.0001430305200767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7-4597-9696-C0C21F6D1AE7}"/>
            </c:ext>
          </c:extLst>
        </c:ser>
        <c:ser>
          <c:idx val="3"/>
          <c:order val="6"/>
          <c:tx>
            <c:strRef>
              <c:f>Tankers!$F$8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Tankers!$F$12</c:f>
              <c:numCache>
                <c:formatCode>#,##0</c:formatCode>
                <c:ptCount val="1"/>
                <c:pt idx="0">
                  <c:v>13000</c:v>
                </c:pt>
              </c:numCache>
            </c:numRef>
          </c:xVal>
          <c:yVal>
            <c:numRef>
              <c:f>Tankers!$F$35</c:f>
              <c:numCache>
                <c:formatCode>0.00</c:formatCode>
                <c:ptCount val="1"/>
                <c:pt idx="0">
                  <c:v>11.53107862202237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7-4597-9696-C0C21F6D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489344"/>
        <c:axId val="467487776"/>
      </c:scatterChart>
      <c:valAx>
        <c:axId val="467489344"/>
        <c:scaling>
          <c:orientation val="minMax"/>
          <c:max val="35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7487776"/>
        <c:crosses val="autoZero"/>
        <c:crossBetween val="midCat"/>
        <c:majorUnit val="5000"/>
        <c:minorUnit val="1000"/>
      </c:valAx>
      <c:valAx>
        <c:axId val="467487776"/>
        <c:scaling>
          <c:orientation val="minMax"/>
          <c:max val="2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7489344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EEDI for Refrigirated Cargo Ships - Res. </a:t>
            </a:r>
            <a:r>
              <a:rPr lang="sv-SE" sz="1000" b="1" i="0" u="none" strike="noStrike" baseline="0">
                <a:effectLst/>
              </a:rPr>
              <a:t>MEPC.203(62)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Baselines!$AY$5:$AY$44</c:f>
              <c:numCache>
                <c:formatCode>#,##0</c:formatCode>
                <c:ptCount val="40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  <c:pt idx="9">
                  <c:v>12000</c:v>
                </c:pt>
                <c:pt idx="10">
                  <c:v>13000</c:v>
                </c:pt>
                <c:pt idx="11">
                  <c:v>14000</c:v>
                </c:pt>
                <c:pt idx="12">
                  <c:v>15000</c:v>
                </c:pt>
                <c:pt idx="13">
                  <c:v>16000</c:v>
                </c:pt>
                <c:pt idx="14">
                  <c:v>17000</c:v>
                </c:pt>
                <c:pt idx="15">
                  <c:v>18000</c:v>
                </c:pt>
                <c:pt idx="16">
                  <c:v>19000</c:v>
                </c:pt>
                <c:pt idx="17">
                  <c:v>20000</c:v>
                </c:pt>
                <c:pt idx="18">
                  <c:v>21000</c:v>
                </c:pt>
                <c:pt idx="19">
                  <c:v>22000</c:v>
                </c:pt>
                <c:pt idx="20">
                  <c:v>23000</c:v>
                </c:pt>
                <c:pt idx="21">
                  <c:v>24000</c:v>
                </c:pt>
                <c:pt idx="22">
                  <c:v>25000</c:v>
                </c:pt>
                <c:pt idx="23">
                  <c:v>26000</c:v>
                </c:pt>
                <c:pt idx="24">
                  <c:v>27000</c:v>
                </c:pt>
                <c:pt idx="25">
                  <c:v>30000</c:v>
                </c:pt>
                <c:pt idx="26">
                  <c:v>35000</c:v>
                </c:pt>
                <c:pt idx="27">
                  <c:v>40000</c:v>
                </c:pt>
                <c:pt idx="28">
                  <c:v>45000</c:v>
                </c:pt>
                <c:pt idx="29">
                  <c:v>50000</c:v>
                </c:pt>
                <c:pt idx="30">
                  <c:v>55000</c:v>
                </c:pt>
                <c:pt idx="31">
                  <c:v>60000</c:v>
                </c:pt>
              </c:numCache>
            </c:numRef>
          </c:xVal>
          <c:yVal>
            <c:numRef>
              <c:f>Baselines!$AZ$5:$AZ$44</c:f>
              <c:numCache>
                <c:formatCode>#,##0.00</c:formatCode>
                <c:ptCount val="40"/>
                <c:pt idx="0">
                  <c:v>32.183065011106734</c:v>
                </c:pt>
                <c:pt idx="1">
                  <c:v>30.001457301218998</c:v>
                </c:pt>
                <c:pt idx="2">
                  <c:v>28.411640293100398</c:v>
                </c:pt>
                <c:pt idx="3">
                  <c:v>27.175408655395792</c:v>
                </c:pt>
                <c:pt idx="4">
                  <c:v>26.172250412954877</c:v>
                </c:pt>
                <c:pt idx="5">
                  <c:v>25.333257169156024</c:v>
                </c:pt>
                <c:pt idx="6">
                  <c:v>24.615565443141126</c:v>
                </c:pt>
                <c:pt idx="7">
                  <c:v>23.990814276659254</c:v>
                </c:pt>
                <c:pt idx="8">
                  <c:v>23.439328923139797</c:v>
                </c:pt>
                <c:pt idx="9">
                  <c:v>22.946939184720133</c:v>
                </c:pt>
                <c:pt idx="10">
                  <c:v>22.50312386645437</c:v>
                </c:pt>
                <c:pt idx="11">
                  <c:v>22.099871474576542</c:v>
                </c:pt>
                <c:pt idx="12">
                  <c:v>21.730950446778092</c:v>
                </c:pt>
                <c:pt idx="13">
                  <c:v>21.391424834970231</c:v>
                </c:pt>
                <c:pt idx="14">
                  <c:v>21.077323045402789</c:v>
                </c:pt>
                <c:pt idx="15">
                  <c:v>20.785405304626543</c:v>
                </c:pt>
                <c:pt idx="16">
                  <c:v>20.512996695074676</c:v>
                </c:pt>
                <c:pt idx="17">
                  <c:v>20.257864865230221</c:v>
                </c:pt>
                <c:pt idx="18">
                  <c:v>20.018128870324571</c:v>
                </c:pt>
                <c:pt idx="19">
                  <c:v>19.792190143317161</c:v>
                </c:pt>
                <c:pt idx="20">
                  <c:v>19.578679481491974</c:v>
                </c:pt>
                <c:pt idx="21">
                  <c:v>19.376415811237234</c:v>
                </c:pt>
                <c:pt idx="22">
                  <c:v>19.184373741530624</c:v>
                </c:pt>
                <c:pt idx="23">
                  <c:v>19.001657762641358</c:v>
                </c:pt>
                <c:pt idx="24">
                  <c:v>18.827481530315765</c:v>
                </c:pt>
                <c:pt idx="25">
                  <c:v>18.34963384182165</c:v>
                </c:pt>
                <c:pt idx="26">
                  <c:v>17.672271942038737</c:v>
                </c:pt>
                <c:pt idx="27">
                  <c:v>17.105759069511446</c:v>
                </c:pt>
                <c:pt idx="28">
                  <c:v>16.621152543417367</c:v>
                </c:pt>
                <c:pt idx="29">
                  <c:v>16.199302212017955</c:v>
                </c:pt>
                <c:pt idx="30">
                  <c:v>15.826923108743635</c:v>
                </c:pt>
                <c:pt idx="31">
                  <c:v>15.494447099935662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BC-4101-8CF8-5B7F285B41C3}"/>
            </c:ext>
          </c:extLst>
        </c:ser>
        <c:ser>
          <c:idx val="4"/>
          <c:order val="1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Baselines!$AY$5:$AY$44</c:f>
              <c:numCache>
                <c:formatCode>#,##0</c:formatCode>
                <c:ptCount val="40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  <c:pt idx="9">
                  <c:v>12000</c:v>
                </c:pt>
                <c:pt idx="10">
                  <c:v>13000</c:v>
                </c:pt>
                <c:pt idx="11">
                  <c:v>14000</c:v>
                </c:pt>
                <c:pt idx="12">
                  <c:v>15000</c:v>
                </c:pt>
                <c:pt idx="13">
                  <c:v>16000</c:v>
                </c:pt>
                <c:pt idx="14">
                  <c:v>17000</c:v>
                </c:pt>
                <c:pt idx="15">
                  <c:v>18000</c:v>
                </c:pt>
                <c:pt idx="16">
                  <c:v>19000</c:v>
                </c:pt>
                <c:pt idx="17">
                  <c:v>20000</c:v>
                </c:pt>
                <c:pt idx="18">
                  <c:v>21000</c:v>
                </c:pt>
                <c:pt idx="19">
                  <c:v>22000</c:v>
                </c:pt>
                <c:pt idx="20">
                  <c:v>23000</c:v>
                </c:pt>
                <c:pt idx="21">
                  <c:v>24000</c:v>
                </c:pt>
                <c:pt idx="22">
                  <c:v>25000</c:v>
                </c:pt>
                <c:pt idx="23">
                  <c:v>26000</c:v>
                </c:pt>
                <c:pt idx="24">
                  <c:v>27000</c:v>
                </c:pt>
                <c:pt idx="25">
                  <c:v>30000</c:v>
                </c:pt>
                <c:pt idx="26">
                  <c:v>35000</c:v>
                </c:pt>
                <c:pt idx="27">
                  <c:v>40000</c:v>
                </c:pt>
                <c:pt idx="28">
                  <c:v>45000</c:v>
                </c:pt>
                <c:pt idx="29">
                  <c:v>50000</c:v>
                </c:pt>
                <c:pt idx="30">
                  <c:v>55000</c:v>
                </c:pt>
                <c:pt idx="31">
                  <c:v>60000</c:v>
                </c:pt>
              </c:numCache>
            </c:numRef>
          </c:xVal>
          <c:yVal>
            <c:numRef>
              <c:f>Baselines!$BA$5:$BA$44</c:f>
              <c:numCache>
                <c:formatCode>#,##0.00</c:formatCode>
                <c:ptCount val="40"/>
                <c:pt idx="0">
                  <c:v>32.183065011106734</c:v>
                </c:pt>
                <c:pt idx="1">
                  <c:v>28.501384436158048</c:v>
                </c:pt>
                <c:pt idx="2">
                  <c:v>25.570476263790358</c:v>
                </c:pt>
                <c:pt idx="3">
                  <c:v>24.457867789856213</c:v>
                </c:pt>
                <c:pt idx="4">
                  <c:v>23.55502537165939</c:v>
                </c:pt>
                <c:pt idx="5">
                  <c:v>22.799931452240422</c:v>
                </c:pt>
                <c:pt idx="6">
                  <c:v>22.154008898827012</c:v>
                </c:pt>
                <c:pt idx="7">
                  <c:v>21.591732848993328</c:v>
                </c:pt>
                <c:pt idx="8">
                  <c:v>21.095396030825817</c:v>
                </c:pt>
                <c:pt idx="9">
                  <c:v>20.652245266248119</c:v>
                </c:pt>
                <c:pt idx="10">
                  <c:v>20.252811479808933</c:v>
                </c:pt>
                <c:pt idx="11">
                  <c:v>19.889884327118889</c:v>
                </c:pt>
                <c:pt idx="12">
                  <c:v>19.557855402100284</c:v>
                </c:pt>
                <c:pt idx="13">
                  <c:v>19.252282351473209</c:v>
                </c:pt>
                <c:pt idx="14">
                  <c:v>18.969590740862511</c:v>
                </c:pt>
                <c:pt idx="15">
                  <c:v>18.70686477416389</c:v>
                </c:pt>
                <c:pt idx="16">
                  <c:v>18.461697025567208</c:v>
                </c:pt>
                <c:pt idx="17">
                  <c:v>18.2320783787072</c:v>
                </c:pt>
                <c:pt idx="18">
                  <c:v>18.016315983292113</c:v>
                </c:pt>
                <c:pt idx="19">
                  <c:v>17.812971128985446</c:v>
                </c:pt>
                <c:pt idx="20">
                  <c:v>17.620811533342778</c:v>
                </c:pt>
                <c:pt idx="21">
                  <c:v>17.438774230113509</c:v>
                </c:pt>
                <c:pt idx="22">
                  <c:v>17.265936367377563</c:v>
                </c:pt>
                <c:pt idx="23">
                  <c:v>17.101491986377223</c:v>
                </c:pt>
                <c:pt idx="24">
                  <c:v>16.944733377284191</c:v>
                </c:pt>
                <c:pt idx="25">
                  <c:v>16.514670457639486</c:v>
                </c:pt>
                <c:pt idx="26">
                  <c:v>15.905044747834864</c:v>
                </c:pt>
                <c:pt idx="27">
                  <c:v>15.395183162560302</c:v>
                </c:pt>
                <c:pt idx="28">
                  <c:v>14.95903728907563</c:v>
                </c:pt>
                <c:pt idx="29">
                  <c:v>14.57937199081616</c:v>
                </c:pt>
                <c:pt idx="30">
                  <c:v>14.244230797869273</c:v>
                </c:pt>
                <c:pt idx="31">
                  <c:v>13.945002389942097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BC-4101-8CF8-5B7F285B41C3}"/>
            </c:ext>
          </c:extLst>
        </c:ser>
        <c:ser>
          <c:idx val="5"/>
          <c:order val="2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Baselines!$AY$5:$AY$44</c:f>
              <c:numCache>
                <c:formatCode>#,##0</c:formatCode>
                <c:ptCount val="40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  <c:pt idx="9">
                  <c:v>12000</c:v>
                </c:pt>
                <c:pt idx="10">
                  <c:v>13000</c:v>
                </c:pt>
                <c:pt idx="11">
                  <c:v>14000</c:v>
                </c:pt>
                <c:pt idx="12">
                  <c:v>15000</c:v>
                </c:pt>
                <c:pt idx="13">
                  <c:v>16000</c:v>
                </c:pt>
                <c:pt idx="14">
                  <c:v>17000</c:v>
                </c:pt>
                <c:pt idx="15">
                  <c:v>18000</c:v>
                </c:pt>
                <c:pt idx="16">
                  <c:v>19000</c:v>
                </c:pt>
                <c:pt idx="17">
                  <c:v>20000</c:v>
                </c:pt>
                <c:pt idx="18">
                  <c:v>21000</c:v>
                </c:pt>
                <c:pt idx="19">
                  <c:v>22000</c:v>
                </c:pt>
                <c:pt idx="20">
                  <c:v>23000</c:v>
                </c:pt>
                <c:pt idx="21">
                  <c:v>24000</c:v>
                </c:pt>
                <c:pt idx="22">
                  <c:v>25000</c:v>
                </c:pt>
                <c:pt idx="23">
                  <c:v>26000</c:v>
                </c:pt>
                <c:pt idx="24">
                  <c:v>27000</c:v>
                </c:pt>
                <c:pt idx="25">
                  <c:v>30000</c:v>
                </c:pt>
                <c:pt idx="26">
                  <c:v>35000</c:v>
                </c:pt>
                <c:pt idx="27">
                  <c:v>40000</c:v>
                </c:pt>
                <c:pt idx="28">
                  <c:v>45000</c:v>
                </c:pt>
                <c:pt idx="29">
                  <c:v>50000</c:v>
                </c:pt>
                <c:pt idx="30">
                  <c:v>55000</c:v>
                </c:pt>
                <c:pt idx="31">
                  <c:v>60000</c:v>
                </c:pt>
              </c:numCache>
            </c:numRef>
          </c:xVal>
          <c:yVal>
            <c:numRef>
              <c:f>Baselines!$BB$5:$BB$44</c:f>
              <c:numCache>
                <c:formatCode>#,##0.00</c:formatCode>
                <c:ptCount val="40"/>
                <c:pt idx="0">
                  <c:v>32.183065011106734</c:v>
                </c:pt>
                <c:pt idx="1">
                  <c:v>27.751348003627577</c:v>
                </c:pt>
                <c:pt idx="2">
                  <c:v>24.149894249135336</c:v>
                </c:pt>
                <c:pt idx="3">
                  <c:v>23.099097357086421</c:v>
                </c:pt>
                <c:pt idx="4">
                  <c:v>22.246412851011645</c:v>
                </c:pt>
                <c:pt idx="5">
                  <c:v>21.533268593782619</c:v>
                </c:pt>
                <c:pt idx="6">
                  <c:v>20.923230626669955</c:v>
                </c:pt>
                <c:pt idx="7">
                  <c:v>20.392192135160364</c:v>
                </c:pt>
                <c:pt idx="8">
                  <c:v>19.923429584668828</c:v>
                </c:pt>
                <c:pt idx="9">
                  <c:v>19.504898307012112</c:v>
                </c:pt>
                <c:pt idx="10">
                  <c:v>19.127655286486213</c:v>
                </c:pt>
                <c:pt idx="11">
                  <c:v>18.784890753390059</c:v>
                </c:pt>
                <c:pt idx="12">
                  <c:v>18.471307879761376</c:v>
                </c:pt>
                <c:pt idx="13">
                  <c:v>18.182711109724696</c:v>
                </c:pt>
                <c:pt idx="14">
                  <c:v>17.915724588592369</c:v>
                </c:pt>
                <c:pt idx="15">
                  <c:v>17.667594508932563</c:v>
                </c:pt>
                <c:pt idx="16">
                  <c:v>17.436047190813476</c:v>
                </c:pt>
                <c:pt idx="17">
                  <c:v>17.219185135445688</c:v>
                </c:pt>
                <c:pt idx="18">
                  <c:v>17.015409539775884</c:v>
                </c:pt>
                <c:pt idx="19">
                  <c:v>16.823361621819586</c:v>
                </c:pt>
                <c:pt idx="20">
                  <c:v>16.641877559268178</c:v>
                </c:pt>
                <c:pt idx="21">
                  <c:v>16.469953439551649</c:v>
                </c:pt>
                <c:pt idx="22">
                  <c:v>16.306717680301031</c:v>
                </c:pt>
                <c:pt idx="23">
                  <c:v>16.151409098245153</c:v>
                </c:pt>
                <c:pt idx="24">
                  <c:v>16.003359300768398</c:v>
                </c:pt>
                <c:pt idx="25">
                  <c:v>15.597188765548403</c:v>
                </c:pt>
                <c:pt idx="26">
                  <c:v>15.021431150732926</c:v>
                </c:pt>
                <c:pt idx="27">
                  <c:v>14.53989520908473</c:v>
                </c:pt>
                <c:pt idx="28">
                  <c:v>14.127979661904762</c:v>
                </c:pt>
                <c:pt idx="29">
                  <c:v>13.769406880215261</c:v>
                </c:pt>
                <c:pt idx="30">
                  <c:v>13.452884642432089</c:v>
                </c:pt>
                <c:pt idx="31">
                  <c:v>13.170280034945312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BC-4101-8CF8-5B7F285B41C3}"/>
            </c:ext>
          </c:extLst>
        </c:ser>
        <c:ser>
          <c:idx val="6"/>
          <c:order val="3"/>
          <c:spPr>
            <a:ln w="19050">
              <a:solidFill>
                <a:schemeClr val="bg1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Baselines!$AY$5:$AY$44</c:f>
              <c:numCache>
                <c:formatCode>#,##0</c:formatCode>
                <c:ptCount val="40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  <c:pt idx="8">
                  <c:v>11000</c:v>
                </c:pt>
                <c:pt idx="9">
                  <c:v>12000</c:v>
                </c:pt>
                <c:pt idx="10">
                  <c:v>13000</c:v>
                </c:pt>
                <c:pt idx="11">
                  <c:v>14000</c:v>
                </c:pt>
                <c:pt idx="12">
                  <c:v>15000</c:v>
                </c:pt>
                <c:pt idx="13">
                  <c:v>16000</c:v>
                </c:pt>
                <c:pt idx="14">
                  <c:v>17000</c:v>
                </c:pt>
                <c:pt idx="15">
                  <c:v>18000</c:v>
                </c:pt>
                <c:pt idx="16">
                  <c:v>19000</c:v>
                </c:pt>
                <c:pt idx="17">
                  <c:v>20000</c:v>
                </c:pt>
                <c:pt idx="18">
                  <c:v>21000</c:v>
                </c:pt>
                <c:pt idx="19">
                  <c:v>22000</c:v>
                </c:pt>
                <c:pt idx="20">
                  <c:v>23000</c:v>
                </c:pt>
                <c:pt idx="21">
                  <c:v>24000</c:v>
                </c:pt>
                <c:pt idx="22">
                  <c:v>25000</c:v>
                </c:pt>
                <c:pt idx="23">
                  <c:v>26000</c:v>
                </c:pt>
                <c:pt idx="24">
                  <c:v>27000</c:v>
                </c:pt>
                <c:pt idx="25">
                  <c:v>30000</c:v>
                </c:pt>
                <c:pt idx="26">
                  <c:v>35000</c:v>
                </c:pt>
                <c:pt idx="27">
                  <c:v>40000</c:v>
                </c:pt>
                <c:pt idx="28">
                  <c:v>45000</c:v>
                </c:pt>
                <c:pt idx="29">
                  <c:v>50000</c:v>
                </c:pt>
                <c:pt idx="30">
                  <c:v>55000</c:v>
                </c:pt>
                <c:pt idx="31">
                  <c:v>60000</c:v>
                </c:pt>
              </c:numCache>
            </c:numRef>
          </c:xVal>
          <c:yVal>
            <c:numRef>
              <c:f>Baselines!$BC$5:$BC$44</c:f>
              <c:numCache>
                <c:formatCode>#,##0.00</c:formatCode>
                <c:ptCount val="40"/>
                <c:pt idx="0">
                  <c:v>32.183065011106734</c:v>
                </c:pt>
                <c:pt idx="1">
                  <c:v>25.501238706036148</c:v>
                </c:pt>
                <c:pt idx="2">
                  <c:v>19.888148205170278</c:v>
                </c:pt>
                <c:pt idx="3">
                  <c:v>19.022786058777054</c:v>
                </c:pt>
                <c:pt idx="4">
                  <c:v>18.320575289068412</c:v>
                </c:pt>
                <c:pt idx="5">
                  <c:v>17.733280018409214</c:v>
                </c:pt>
                <c:pt idx="6">
                  <c:v>17.230895810198788</c:v>
                </c:pt>
                <c:pt idx="7">
                  <c:v>16.793569993661478</c:v>
                </c:pt>
                <c:pt idx="8">
                  <c:v>16.407530246197858</c:v>
                </c:pt>
                <c:pt idx="9">
                  <c:v>16.062857429304092</c:v>
                </c:pt>
                <c:pt idx="10">
                  <c:v>15.752186706518058</c:v>
                </c:pt>
                <c:pt idx="11">
                  <c:v>15.469910032203579</c:v>
                </c:pt>
                <c:pt idx="12">
                  <c:v>15.211665312744664</c:v>
                </c:pt>
                <c:pt idx="13">
                  <c:v>14.97399738447916</c:v>
                </c:pt>
                <c:pt idx="14">
                  <c:v>14.754126131781952</c:v>
                </c:pt>
                <c:pt idx="15">
                  <c:v>14.549783713238579</c:v>
                </c:pt>
                <c:pt idx="16">
                  <c:v>14.359097686552273</c:v>
                </c:pt>
                <c:pt idx="17">
                  <c:v>14.180505405661155</c:v>
                </c:pt>
                <c:pt idx="18">
                  <c:v>14.012690209227198</c:v>
                </c:pt>
                <c:pt idx="19">
                  <c:v>13.854533100322012</c:v>
                </c:pt>
                <c:pt idx="20">
                  <c:v>13.705075637044381</c:v>
                </c:pt>
                <c:pt idx="21">
                  <c:v>13.563491067866062</c:v>
                </c:pt>
                <c:pt idx="22">
                  <c:v>13.429061619071437</c:v>
                </c:pt>
                <c:pt idx="23">
                  <c:v>13.301160433848949</c:v>
                </c:pt>
                <c:pt idx="24">
                  <c:v>13.179237071221035</c:v>
                </c:pt>
                <c:pt idx="25">
                  <c:v>12.844743689275154</c:v>
                </c:pt>
                <c:pt idx="26">
                  <c:v>12.370590359427116</c:v>
                </c:pt>
                <c:pt idx="27">
                  <c:v>11.974031348658011</c:v>
                </c:pt>
                <c:pt idx="28">
                  <c:v>11.634806780392156</c:v>
                </c:pt>
                <c:pt idx="29">
                  <c:v>11.339511548412567</c:v>
                </c:pt>
                <c:pt idx="30">
                  <c:v>11.078846176120544</c:v>
                </c:pt>
                <c:pt idx="31">
                  <c:v>10.846112969954962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ABC-4101-8CF8-5B7F285B41C3}"/>
            </c:ext>
          </c:extLst>
        </c:ser>
        <c:ser>
          <c:idx val="1"/>
          <c:order val="4"/>
          <c:tx>
            <c:strRef>
              <c:f>Refers!$D$8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Refers!$D$12</c:f>
              <c:numCache>
                <c:formatCode>#,##0</c:formatCode>
                <c:ptCount val="1"/>
                <c:pt idx="0">
                  <c:v>15000</c:v>
                </c:pt>
              </c:numCache>
            </c:numRef>
          </c:xVal>
          <c:yVal>
            <c:numRef>
              <c:f>Refers!$D$27</c:f>
              <c:numCache>
                <c:formatCode>0.00</c:formatCode>
                <c:ptCount val="1"/>
                <c:pt idx="0">
                  <c:v>15.490631924999999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BC-4101-8CF8-5B7F285B41C3}"/>
            </c:ext>
          </c:extLst>
        </c:ser>
        <c:ser>
          <c:idx val="2"/>
          <c:order val="5"/>
          <c:tx>
            <c:strRef>
              <c:f>Refers!$E$8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Refers!$E$12</c:f>
              <c:numCache>
                <c:formatCode>#,##0</c:formatCode>
                <c:ptCount val="1"/>
                <c:pt idx="0">
                  <c:v>14452</c:v>
                </c:pt>
              </c:numCache>
            </c:numRef>
          </c:xVal>
          <c:yVal>
            <c:numRef>
              <c:f>Refers!$E$27</c:f>
              <c:numCache>
                <c:formatCode>0.00</c:formatCode>
                <c:ptCount val="1"/>
                <c:pt idx="0">
                  <c:v>16.924226759727301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BC-4101-8CF8-5B7F285B41C3}"/>
            </c:ext>
          </c:extLst>
        </c:ser>
        <c:ser>
          <c:idx val="3"/>
          <c:order val="6"/>
          <c:tx>
            <c:strRef>
              <c:f>Refers!$F$8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Refers!$F$12</c:f>
              <c:numCache>
                <c:formatCode>#,##0</c:formatCode>
                <c:ptCount val="1"/>
                <c:pt idx="0">
                  <c:v>0</c:v>
                </c:pt>
              </c:numCache>
            </c:numRef>
          </c:xVal>
          <c:yVal>
            <c:numRef>
              <c:f>Refers!$F$27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BC-4101-8CF8-5B7F285B4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642208"/>
        <c:axId val="468641032"/>
      </c:scatterChart>
      <c:valAx>
        <c:axId val="468642208"/>
        <c:scaling>
          <c:orientation val="minMax"/>
          <c:max val="50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8641032"/>
        <c:crosses val="autoZero"/>
        <c:crossBetween val="midCat"/>
        <c:majorUnit val="5000"/>
        <c:minorUnit val="1000"/>
      </c:valAx>
      <c:valAx>
        <c:axId val="468641032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8642208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RoRo Cargo - Res. </a:t>
            </a:r>
            <a:r>
              <a:rPr lang="sv-SE" sz="1000" b="1" i="0" u="none" strike="noStrike" baseline="0">
                <a:effectLst/>
              </a:rPr>
              <a:t>MEPC.251(66)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Baselines!$U$5:$U$51</c:f>
              <c:numCache>
                <c:formatCode>#,##0</c:formatCode>
                <c:ptCount val="47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Baselines!$V$5:$V$51</c:f>
              <c:numCache>
                <c:formatCode>#,##0.00</c:formatCode>
                <c:ptCount val="47"/>
                <c:pt idx="0">
                  <c:v>45.052893413288565</c:v>
                </c:pt>
                <c:pt idx="1">
                  <c:v>42.96443752283988</c:v>
                </c:pt>
                <c:pt idx="2">
                  <c:v>41.142476257952815</c:v>
                </c:pt>
                <c:pt idx="3">
                  <c:v>39.534741025813361</c:v>
                </c:pt>
                <c:pt idx="4">
                  <c:v>36.81537603192897</c:v>
                </c:pt>
                <c:pt idx="5">
                  <c:v>31.901400536198526</c:v>
                </c:pt>
                <c:pt idx="6">
                  <c:v>28.546217036664302</c:v>
                </c:pt>
                <c:pt idx="7">
                  <c:v>26.068515642525124</c:v>
                </c:pt>
                <c:pt idx="8">
                  <c:v>22.588989942004318</c:v>
                </c:pt>
                <c:pt idx="9">
                  <c:v>20.213225710632759</c:v>
                </c:pt>
                <c:pt idx="10">
                  <c:v>18.45879578182786</c:v>
                </c:pt>
                <c:pt idx="11">
                  <c:v>17.094793688205833</c:v>
                </c:pt>
                <c:pt idx="12">
                  <c:v>15.99498636497094</c:v>
                </c:pt>
                <c:pt idx="13">
                  <c:v>15.083770570973703</c:v>
                </c:pt>
                <c:pt idx="14">
                  <c:v>14.312736889242423</c:v>
                </c:pt>
                <c:pt idx="15">
                  <c:v>13.6492607526362</c:v>
                </c:pt>
                <c:pt idx="16">
                  <c:v>13.070446602621418</c:v>
                </c:pt>
                <c:pt idx="17">
                  <c:v>12.559689365476016</c:v>
                </c:pt>
                <c:pt idx="18">
                  <c:v>12.104613471291064</c:v>
                </c:pt>
                <c:pt idx="19">
                  <c:v>11.695781351705623</c:v>
                </c:pt>
                <c:pt idx="20">
                  <c:v>11.325853412324193</c:v>
                </c:pt>
                <c:pt idx="21">
                  <c:v>10.989024075795543</c:v>
                </c:pt>
                <c:pt idx="22">
                  <c:v>10.680632699138156</c:v>
                </c:pt>
                <c:pt idx="23">
                  <c:v>10.396888691158566</c:v>
                </c:pt>
                <c:pt idx="24">
                  <c:v>10.134673218086183</c:v>
                </c:pt>
                <c:pt idx="25">
                  <c:v>9.8913934911734458</c:v>
                </c:pt>
                <c:pt idx="26">
                  <c:v>9.6648739138345796</c:v>
                </c:pt>
                <c:pt idx="27">
                  <c:v>9.4532735522818925</c:v>
                </c:pt>
                <c:pt idx="28">
                  <c:v>9.2550227225635879</c:v>
                </c:pt>
                <c:pt idx="29">
                  <c:v>9.0687736718919503</c:v>
                </c:pt>
                <c:pt idx="30">
                  <c:v>8.8933617954957782</c:v>
                </c:pt>
                <c:pt idx="31">
                  <c:v>8.7277748283689238</c:v>
                </c:pt>
                <c:pt idx="32">
                  <c:v>8.2816391405065986</c:v>
                </c:pt>
                <c:pt idx="33">
                  <c:v>7.669672181242996</c:v>
                </c:pt>
                <c:pt idx="34">
                  <c:v>7.1762376428921986</c:v>
                </c:pt>
                <c:pt idx="35">
                  <c:v>6.7674157200425773</c:v>
                </c:pt>
                <c:pt idx="36">
                  <c:v>6.4214872644300538</c:v>
                </c:pt>
                <c:pt idx="37">
                  <c:v>5.2473759266814479</c:v>
                </c:pt>
                <c:pt idx="38">
                  <c:v>4.5469762703466712</c:v>
                </c:pt>
                <c:pt idx="39">
                  <c:v>3.7156024512222721</c:v>
                </c:pt>
                <c:pt idx="40">
                  <c:v>3.219658056104663</c:v>
                </c:pt>
                <c:pt idx="41">
                  <c:v>2.881035193082488</c:v>
                </c:pt>
                <c:pt idx="42">
                  <c:v>2.6309724647953661</c:v>
                </c:pt>
                <c:pt idx="43">
                  <c:v>2.4365582682974742</c:v>
                </c:pt>
                <c:pt idx="44">
                  <c:v>2.2798003292525055</c:v>
                </c:pt>
                <c:pt idx="45">
                  <c:v>2.1499227526310896</c:v>
                </c:pt>
                <c:pt idx="46">
                  <c:v>2.0400256385375566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40-4A2F-9339-9F74659ACD17}"/>
            </c:ext>
          </c:extLst>
        </c:ser>
        <c:ser>
          <c:idx val="4"/>
          <c:order val="1"/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Baselines!$U$5:$U$51</c:f>
              <c:numCache>
                <c:formatCode>#,##0</c:formatCode>
                <c:ptCount val="47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Baselines!$W$5:$W$51</c:f>
              <c:numCache>
                <c:formatCode>#,##0.00</c:formatCode>
                <c:ptCount val="47"/>
                <c:pt idx="0">
                  <c:v>45.052893413288565</c:v>
                </c:pt>
                <c:pt idx="1">
                  <c:v>42.749615335225677</c:v>
                </c:pt>
                <c:pt idx="2">
                  <c:v>40.731051495373286</c:v>
                </c:pt>
                <c:pt idx="3">
                  <c:v>38.941719910426158</c:v>
                </c:pt>
                <c:pt idx="4">
                  <c:v>35.894991631130743</c:v>
                </c:pt>
                <c:pt idx="5">
                  <c:v>30.306330509388598</c:v>
                </c:pt>
                <c:pt idx="6">
                  <c:v>27.118906184831086</c:v>
                </c:pt>
                <c:pt idx="7">
                  <c:v>24.765089860398867</c:v>
                </c:pt>
                <c:pt idx="8">
                  <c:v>21.4595404449041</c:v>
                </c:pt>
                <c:pt idx="9">
                  <c:v>19.202564425101119</c:v>
                </c:pt>
                <c:pt idx="10">
                  <c:v>17.535855992736465</c:v>
                </c:pt>
                <c:pt idx="11">
                  <c:v>16.240054003795539</c:v>
                </c:pt>
                <c:pt idx="12">
                  <c:v>15.195237046722392</c:v>
                </c:pt>
                <c:pt idx="13">
                  <c:v>14.329582042425017</c:v>
                </c:pt>
                <c:pt idx="14">
                  <c:v>13.597100044780301</c:v>
                </c:pt>
                <c:pt idx="15">
                  <c:v>12.96679771500439</c:v>
                </c:pt>
                <c:pt idx="16">
                  <c:v>12.416924272490347</c:v>
                </c:pt>
                <c:pt idx="17">
                  <c:v>11.931704897202215</c:v>
                </c:pt>
                <c:pt idx="18">
                  <c:v>11.49938279772651</c:v>
                </c:pt>
                <c:pt idx="19">
                  <c:v>11.110992284120341</c:v>
                </c:pt>
                <c:pt idx="20">
                  <c:v>10.759560741707983</c:v>
                </c:pt>
                <c:pt idx="21">
                  <c:v>10.439572872005765</c:v>
                </c:pt>
                <c:pt idx="22">
                  <c:v>10.146601064181247</c:v>
                </c:pt>
                <c:pt idx="23">
                  <c:v>9.8770442566006373</c:v>
                </c:pt>
                <c:pt idx="24">
                  <c:v>9.6279395571818736</c:v>
                </c:pt>
                <c:pt idx="25">
                  <c:v>9.3968238166147735</c:v>
                </c:pt>
                <c:pt idx="26">
                  <c:v>9.1816302181428497</c:v>
                </c:pt>
                <c:pt idx="27">
                  <c:v>8.9806098746677971</c:v>
                </c:pt>
                <c:pt idx="28">
                  <c:v>8.7922715864354082</c:v>
                </c:pt>
                <c:pt idx="29">
                  <c:v>8.6153349882973522</c:v>
                </c:pt>
                <c:pt idx="30">
                  <c:v>8.4486937057209897</c:v>
                </c:pt>
                <c:pt idx="31">
                  <c:v>8.2913860869504781</c:v>
                </c:pt>
                <c:pt idx="32">
                  <c:v>7.8675571834812681</c:v>
                </c:pt>
                <c:pt idx="33">
                  <c:v>7.2861885721808459</c:v>
                </c:pt>
                <c:pt idx="34">
                  <c:v>6.8174257607475885</c:v>
                </c:pt>
                <c:pt idx="35">
                  <c:v>6.4290449340404479</c:v>
                </c:pt>
                <c:pt idx="36">
                  <c:v>6.1004129012085508</c:v>
                </c:pt>
                <c:pt idx="37">
                  <c:v>4.9850071303473751</c:v>
                </c:pt>
                <c:pt idx="38">
                  <c:v>4.3196274568293376</c:v>
                </c:pt>
                <c:pt idx="39">
                  <c:v>3.5298223286611581</c:v>
                </c:pt>
                <c:pt idx="40">
                  <c:v>3.0586751532994296</c:v>
                </c:pt>
                <c:pt idx="41">
                  <c:v>2.7369834334283634</c:v>
                </c:pt>
                <c:pt idx="42">
                  <c:v>2.4994238415555978</c:v>
                </c:pt>
                <c:pt idx="43">
                  <c:v>2.3147303548826006</c:v>
                </c:pt>
                <c:pt idx="44">
                  <c:v>2.1658103127898802</c:v>
                </c:pt>
                <c:pt idx="45">
                  <c:v>2.0424266149995352</c:v>
                </c:pt>
                <c:pt idx="46">
                  <c:v>1.9380243566106787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A40-4A2F-9339-9F74659ACD17}"/>
            </c:ext>
          </c:extLst>
        </c:ser>
        <c:ser>
          <c:idx val="5"/>
          <c:order val="2"/>
          <c:spPr>
            <a:ln w="19050">
              <a:solidFill>
                <a:schemeClr val="accent1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Baselines!$U$5:$U$51</c:f>
              <c:numCache>
                <c:formatCode>#,##0</c:formatCode>
                <c:ptCount val="47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Baselines!$X$5:$X$51</c:f>
              <c:numCache>
                <c:formatCode>#,##0.00</c:formatCode>
                <c:ptCount val="47"/>
                <c:pt idx="0">
                  <c:v>45.052893413288565</c:v>
                </c:pt>
                <c:pt idx="1">
                  <c:v>42.105148772383082</c:v>
                </c:pt>
                <c:pt idx="2">
                  <c:v>39.4967772076347</c:v>
                </c:pt>
                <c:pt idx="3">
                  <c:v>37.162656564264559</c:v>
                </c:pt>
                <c:pt idx="4">
                  <c:v>33.133838428736077</c:v>
                </c:pt>
                <c:pt idx="5">
                  <c:v>25.521120428958824</c:v>
                </c:pt>
                <c:pt idx="6">
                  <c:v>22.836973629331442</c:v>
                </c:pt>
                <c:pt idx="7">
                  <c:v>20.8548125140201</c:v>
                </c:pt>
                <c:pt idx="8">
                  <c:v>18.071191953603456</c:v>
                </c:pt>
                <c:pt idx="9">
                  <c:v>16.170580568506207</c:v>
                </c:pt>
                <c:pt idx="10">
                  <c:v>14.767036625462289</c:v>
                </c:pt>
                <c:pt idx="11">
                  <c:v>13.675834950564667</c:v>
                </c:pt>
                <c:pt idx="12">
                  <c:v>12.795989091976752</c:v>
                </c:pt>
                <c:pt idx="13">
                  <c:v>12.067016456778964</c:v>
                </c:pt>
                <c:pt idx="14">
                  <c:v>11.450189511393939</c:v>
                </c:pt>
                <c:pt idx="15">
                  <c:v>10.919408602108961</c:v>
                </c:pt>
                <c:pt idx="16">
                  <c:v>10.456357282097136</c:v>
                </c:pt>
                <c:pt idx="17">
                  <c:v>10.047751492380813</c:v>
                </c:pt>
                <c:pt idx="18">
                  <c:v>9.6836907770328509</c:v>
                </c:pt>
                <c:pt idx="19">
                  <c:v>9.3566250813644984</c:v>
                </c:pt>
                <c:pt idx="20">
                  <c:v>9.0606827298593551</c:v>
                </c:pt>
                <c:pt idx="21">
                  <c:v>8.791219260636435</c:v>
                </c:pt>
                <c:pt idx="22">
                  <c:v>8.5445061593105258</c:v>
                </c:pt>
                <c:pt idx="23">
                  <c:v>8.3175109529268525</c:v>
                </c:pt>
                <c:pt idx="24">
                  <c:v>8.1077385744689465</c:v>
                </c:pt>
                <c:pt idx="25">
                  <c:v>7.9131147929387566</c:v>
                </c:pt>
                <c:pt idx="26">
                  <c:v>7.7318991310676637</c:v>
                </c:pt>
                <c:pt idx="27">
                  <c:v>7.5626188418255147</c:v>
                </c:pt>
                <c:pt idx="28">
                  <c:v>7.4040181780508707</c:v>
                </c:pt>
                <c:pt idx="29">
                  <c:v>7.2550189375135608</c:v>
                </c:pt>
                <c:pt idx="30">
                  <c:v>7.1146894363966231</c:v>
                </c:pt>
                <c:pt idx="31">
                  <c:v>6.9822198626951391</c:v>
                </c:pt>
                <c:pt idx="32">
                  <c:v>6.6253113124052794</c:v>
                </c:pt>
                <c:pt idx="33">
                  <c:v>6.1357377449943975</c:v>
                </c:pt>
                <c:pt idx="34">
                  <c:v>5.7409901143137594</c:v>
                </c:pt>
                <c:pt idx="35">
                  <c:v>5.4139325760340622</c:v>
                </c:pt>
                <c:pt idx="36">
                  <c:v>5.1371898115440437</c:v>
                </c:pt>
                <c:pt idx="37">
                  <c:v>4.1979007413451583</c:v>
                </c:pt>
                <c:pt idx="38">
                  <c:v>3.6375810162773372</c:v>
                </c:pt>
                <c:pt idx="39">
                  <c:v>2.9724819609778179</c:v>
                </c:pt>
                <c:pt idx="40">
                  <c:v>2.5757264448837307</c:v>
                </c:pt>
                <c:pt idx="41">
                  <c:v>2.3048281544659903</c:v>
                </c:pt>
                <c:pt idx="42">
                  <c:v>2.1047779718362931</c:v>
                </c:pt>
                <c:pt idx="43">
                  <c:v>1.9492466146379794</c:v>
                </c:pt>
                <c:pt idx="44">
                  <c:v>1.8238402634020046</c:v>
                </c:pt>
                <c:pt idx="45">
                  <c:v>1.7199382021048717</c:v>
                </c:pt>
                <c:pt idx="46">
                  <c:v>1.6320205108300454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A40-4A2F-9339-9F74659ACD17}"/>
            </c:ext>
          </c:extLst>
        </c:ser>
        <c:ser>
          <c:idx val="6"/>
          <c:order val="3"/>
          <c:spPr>
            <a:ln w="19050">
              <a:solidFill>
                <a:schemeClr val="tx2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Baselines!$U$5:$U$51</c:f>
              <c:numCache>
                <c:formatCode>#,##0</c:formatCode>
                <c:ptCount val="47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Baselines!$Y$5:$Y$51</c:f>
              <c:numCache>
                <c:formatCode>#,##0.00</c:formatCode>
                <c:ptCount val="47"/>
                <c:pt idx="0">
                  <c:v>45.052893413288565</c:v>
                </c:pt>
                <c:pt idx="1">
                  <c:v>41.675504397154683</c:v>
                </c:pt>
                <c:pt idx="2">
                  <c:v>38.673927682475643</c:v>
                </c:pt>
                <c:pt idx="3">
                  <c:v>35.976614333490161</c:v>
                </c:pt>
                <c:pt idx="4">
                  <c:v>31.293069627139623</c:v>
                </c:pt>
                <c:pt idx="5">
                  <c:v>22.330980375338967</c:v>
                </c:pt>
                <c:pt idx="6">
                  <c:v>19.982351925665011</c:v>
                </c:pt>
                <c:pt idx="7">
                  <c:v>18.247960949767585</c:v>
                </c:pt>
                <c:pt idx="8">
                  <c:v>15.812292959403022</c:v>
                </c:pt>
                <c:pt idx="9">
                  <c:v>14.14925799744293</c:v>
                </c:pt>
                <c:pt idx="10">
                  <c:v>12.9211570472795</c:v>
                </c:pt>
                <c:pt idx="11">
                  <c:v>11.966355581744082</c:v>
                </c:pt>
                <c:pt idx="12">
                  <c:v>11.196490455479656</c:v>
                </c:pt>
                <c:pt idx="13">
                  <c:v>10.558639399681592</c:v>
                </c:pt>
                <c:pt idx="14">
                  <c:v>10.018915822469696</c:v>
                </c:pt>
                <c:pt idx="15">
                  <c:v>9.5544825268453391</c:v>
                </c:pt>
                <c:pt idx="16">
                  <c:v>9.1493126218349925</c:v>
                </c:pt>
                <c:pt idx="17">
                  <c:v>8.7917825558332101</c:v>
                </c:pt>
                <c:pt idx="18">
                  <c:v>8.4732294299037445</c:v>
                </c:pt>
                <c:pt idx="19">
                  <c:v>8.1870469461939361</c:v>
                </c:pt>
                <c:pt idx="20">
                  <c:v>7.9280973886269344</c:v>
                </c:pt>
                <c:pt idx="21">
                  <c:v>7.6923168530568793</c:v>
                </c:pt>
                <c:pt idx="22">
                  <c:v>7.4764428893967088</c:v>
                </c:pt>
                <c:pt idx="23">
                  <c:v>7.277822083810995</c:v>
                </c:pt>
                <c:pt idx="24">
                  <c:v>7.0942712526603273</c:v>
                </c:pt>
                <c:pt idx="25">
                  <c:v>6.9239754438214121</c:v>
                </c:pt>
                <c:pt idx="26">
                  <c:v>6.7654117396842057</c:v>
                </c:pt>
                <c:pt idx="27">
                  <c:v>6.617291486597324</c:v>
                </c:pt>
                <c:pt idx="28">
                  <c:v>6.4785159057945112</c:v>
                </c:pt>
                <c:pt idx="29">
                  <c:v>6.3481415703243647</c:v>
                </c:pt>
                <c:pt idx="30">
                  <c:v>6.2253532568470442</c:v>
                </c:pt>
                <c:pt idx="31">
                  <c:v>6.1094423798582467</c:v>
                </c:pt>
                <c:pt idx="32">
                  <c:v>5.7971473983546185</c:v>
                </c:pt>
                <c:pt idx="33">
                  <c:v>5.3687705268700965</c:v>
                </c:pt>
                <c:pt idx="34">
                  <c:v>5.0233663500245385</c:v>
                </c:pt>
                <c:pt idx="35">
                  <c:v>4.7371910040298042</c:v>
                </c:pt>
                <c:pt idx="36">
                  <c:v>4.4950410851010369</c:v>
                </c:pt>
                <c:pt idx="37">
                  <c:v>3.6731631486770131</c:v>
                </c:pt>
                <c:pt idx="38">
                  <c:v>3.1828833892426696</c:v>
                </c:pt>
                <c:pt idx="39">
                  <c:v>2.6009217158555904</c:v>
                </c:pt>
                <c:pt idx="40">
                  <c:v>2.2537606392732639</c:v>
                </c:pt>
                <c:pt idx="41">
                  <c:v>2.0167246351577415</c:v>
                </c:pt>
                <c:pt idx="42">
                  <c:v>1.8416807253567562</c:v>
                </c:pt>
                <c:pt idx="43">
                  <c:v>1.7055907878082319</c:v>
                </c:pt>
                <c:pt idx="44">
                  <c:v>1.5958602304767537</c:v>
                </c:pt>
                <c:pt idx="45">
                  <c:v>1.5049459268417626</c:v>
                </c:pt>
                <c:pt idx="46">
                  <c:v>1.4280179469762895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A40-4A2F-9339-9F74659ACD17}"/>
            </c:ext>
          </c:extLst>
        </c:ser>
        <c:ser>
          <c:idx val="1"/>
          <c:order val="4"/>
          <c:tx>
            <c:strRef>
              <c:f>'RoRo Cargo'!$D$8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'RoRo Cargo'!$D$15</c:f>
              <c:numCache>
                <c:formatCode>#,##0</c:formatCode>
                <c:ptCount val="1"/>
                <c:pt idx="0">
                  <c:v>5000</c:v>
                </c:pt>
              </c:numCache>
            </c:numRef>
          </c:xVal>
          <c:yVal>
            <c:numRef>
              <c:f>'RoRo Cargo'!$D$30</c:f>
              <c:numCache>
                <c:formatCode>0.00</c:formatCode>
                <c:ptCount val="1"/>
                <c:pt idx="0">
                  <c:v>22.081160382330118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40-4A2F-9339-9F74659ACD17}"/>
            </c:ext>
          </c:extLst>
        </c:ser>
        <c:ser>
          <c:idx val="2"/>
          <c:order val="5"/>
          <c:tx>
            <c:strRef>
              <c:f>'RoRo Cargo'!$E$8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'RoRo Cargo'!$E$15</c:f>
              <c:numCache>
                <c:formatCode>#,##0</c:formatCode>
                <c:ptCount val="1"/>
                <c:pt idx="0">
                  <c:v>12000</c:v>
                </c:pt>
              </c:numCache>
            </c:numRef>
          </c:xVal>
          <c:yVal>
            <c:numRef>
              <c:f>'RoRo Cargo'!$E$30</c:f>
              <c:numCache>
                <c:formatCode>0.00</c:formatCode>
                <c:ptCount val="1"/>
                <c:pt idx="0">
                  <c:v>13.107300809117923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40-4A2F-9339-9F74659ACD17}"/>
            </c:ext>
          </c:extLst>
        </c:ser>
        <c:ser>
          <c:idx val="3"/>
          <c:order val="6"/>
          <c:tx>
            <c:strRef>
              <c:f>'RoRo Cargo'!$F$8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'RoRo Cargo'!$F$15</c:f>
              <c:numCache>
                <c:formatCode>#,##0</c:formatCode>
                <c:ptCount val="1"/>
                <c:pt idx="0">
                  <c:v>8750</c:v>
                </c:pt>
              </c:numCache>
            </c:numRef>
          </c:xVal>
          <c:yVal>
            <c:numRef>
              <c:f>'RoRo Cargo'!$F$30</c:f>
              <c:numCache>
                <c:formatCode>0.00</c:formatCode>
                <c:ptCount val="1"/>
                <c:pt idx="0">
                  <c:v>12.965720092611885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40-4A2F-9339-9F74659A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488952"/>
        <c:axId val="467486208"/>
      </c:scatterChart>
      <c:valAx>
        <c:axId val="467488952"/>
        <c:scaling>
          <c:orientation val="minMax"/>
          <c:max val="30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7486208"/>
        <c:crosses val="autoZero"/>
        <c:crossBetween val="midCat"/>
        <c:majorUnit val="5000"/>
        <c:minorUnit val="1000"/>
      </c:valAx>
      <c:valAx>
        <c:axId val="467486208"/>
        <c:scaling>
          <c:orientation val="minMax"/>
          <c:max val="5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7488952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b="1"/>
              <a:t>RoRo</a:t>
            </a:r>
            <a:r>
              <a:rPr lang="sv-SE" b="1" baseline="0"/>
              <a:t> Passenger</a:t>
            </a:r>
            <a:r>
              <a:rPr lang="sv-SE" b="1"/>
              <a:t> - Res.</a:t>
            </a:r>
            <a:r>
              <a:rPr lang="sv-SE" b="1" baseline="0"/>
              <a:t> </a:t>
            </a:r>
            <a:r>
              <a:rPr lang="sv-SE" sz="1000" b="1" i="0" u="none" strike="noStrike" baseline="0">
                <a:effectLst/>
              </a:rPr>
              <a:t>MEPC.251(66)</a:t>
            </a:r>
            <a:endParaRPr lang="sv-SE" b="1"/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43095599393034"/>
          <c:y val="0.10424114026105512"/>
          <c:w val="0.82245827010622152"/>
          <c:h val="0.764932264632840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Baselines!$Z$5:$Z$51</c:f>
              <c:numCache>
                <c:formatCode>#,##0</c:formatCode>
                <c:ptCount val="47"/>
                <c:pt idx="0">
                  <c:v>250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Baselines!$AA$5:$AA$51</c:f>
              <c:numCache>
                <c:formatCode>#,##0.00</c:formatCode>
                <c:ptCount val="47"/>
                <c:pt idx="0">
                  <c:v>91.768807983294863</c:v>
                </c:pt>
                <c:pt idx="1">
                  <c:v>85.610500449906098</c:v>
                </c:pt>
                <c:pt idx="2">
                  <c:v>70.469738869532094</c:v>
                </c:pt>
                <c:pt idx="3">
                  <c:v>54.114074329526254</c:v>
                </c:pt>
                <c:pt idx="4">
                  <c:v>46.368117480716904</c:v>
                </c:pt>
                <c:pt idx="5">
                  <c:v>41.554475545354556</c:v>
                </c:pt>
                <c:pt idx="6">
                  <c:v>38.167620952640867</c:v>
                </c:pt>
                <c:pt idx="7">
                  <c:v>35.606315506819215</c:v>
                </c:pt>
                <c:pt idx="8">
                  <c:v>31.909895147320114</c:v>
                </c:pt>
                <c:pt idx="9">
                  <c:v>29.309112114581389</c:v>
                </c:pt>
                <c:pt idx="10">
                  <c:v>27.342272510813004</c:v>
                </c:pt>
                <c:pt idx="11">
                  <c:v>25.782669442772036</c:v>
                </c:pt>
                <c:pt idx="12">
                  <c:v>24.503772336185694</c:v>
                </c:pt>
                <c:pt idx="13">
                  <c:v>23.428465139232699</c:v>
                </c:pt>
                <c:pt idx="14">
                  <c:v>22.506617690712147</c:v>
                </c:pt>
                <c:pt idx="15">
                  <c:v>21.70399200621895</c:v>
                </c:pt>
                <c:pt idx="16">
                  <c:v>20.996271459549998</c:v>
                </c:pt>
                <c:pt idx="17">
                  <c:v>20.365628467292197</c:v>
                </c:pt>
                <c:pt idx="18">
                  <c:v>19.798644255271881</c:v>
                </c:pt>
                <c:pt idx="19">
                  <c:v>19.284992048863501</c:v>
                </c:pt>
                <c:pt idx="20">
                  <c:v>18.81657260017808</c:v>
                </c:pt>
                <c:pt idx="21">
                  <c:v>18.386928819031997</c:v>
                </c:pt>
                <c:pt idx="22">
                  <c:v>17.990838682095589</c:v>
                </c:pt>
                <c:pt idx="23">
                  <c:v>17.624025474121115</c:v>
                </c:pt>
                <c:pt idx="24">
                  <c:v>17.28294729282733</c:v>
                </c:pt>
                <c:pt idx="25">
                  <c:v>16.964641346298794</c:v>
                </c:pt>
                <c:pt idx="26">
                  <c:v>16.666606908341656</c:v>
                </c:pt>
                <c:pt idx="27">
                  <c:v>16.386716050990909</c:v>
                </c:pt>
                <c:pt idx="28">
                  <c:v>16.123144666514971</c:v>
                </c:pt>
                <c:pt idx="29">
                  <c:v>15.874318531517289</c:v>
                </c:pt>
                <c:pt idx="30">
                  <c:v>15.638870674502382</c:v>
                </c:pt>
                <c:pt idx="31">
                  <c:v>15.415607342891741</c:v>
                </c:pt>
                <c:pt idx="32">
                  <c:v>14.809044419883934</c:v>
                </c:pt>
                <c:pt idx="33">
                  <c:v>13.964336610652934</c:v>
                </c:pt>
                <c:pt idx="34">
                  <c:v>13.271663971522152</c:v>
                </c:pt>
                <c:pt idx="35">
                  <c:v>12.689259124287878</c:v>
                </c:pt>
                <c:pt idx="36">
                  <c:v>12.189970712613293</c:v>
                </c:pt>
                <c:pt idx="37">
                  <c:v>10.445082930681258</c:v>
                </c:pt>
                <c:pt idx="38">
                  <c:v>9.3607411038996471</c:v>
                </c:pt>
                <c:pt idx="39">
                  <c:v>8.0208328164151794</c:v>
                </c:pt>
                <c:pt idx="40">
                  <c:v>7.1881611596958184</c:v>
                </c:pt>
                <c:pt idx="41">
                  <c:v>6.6022975116199252</c:v>
                </c:pt>
                <c:pt idx="42">
                  <c:v>6.1592387055070192</c:v>
                </c:pt>
                <c:pt idx="43">
                  <c:v>5.8079157648806818</c:v>
                </c:pt>
                <c:pt idx="44">
                  <c:v>5.5198258646672915</c:v>
                </c:pt>
                <c:pt idx="45">
                  <c:v>5.2775975090994072</c:v>
                </c:pt>
                <c:pt idx="46">
                  <c:v>5.0699381609872463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50-4B10-A059-67E214087DDA}"/>
            </c:ext>
          </c:extLst>
        </c:ser>
        <c:ser>
          <c:idx val="4"/>
          <c:order val="1"/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Baselines!$Z$5:$Z$51</c:f>
              <c:numCache>
                <c:formatCode>#,##0</c:formatCode>
                <c:ptCount val="47"/>
                <c:pt idx="0">
                  <c:v>250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Baselines!$AB$5:$AB$51</c:f>
              <c:numCache>
                <c:formatCode>#,##0.00</c:formatCode>
                <c:ptCount val="47"/>
                <c:pt idx="0">
                  <c:v>91.768807983294863</c:v>
                </c:pt>
                <c:pt idx="1">
                  <c:v>85.325132115073075</c:v>
                </c:pt>
                <c:pt idx="2">
                  <c:v>69.295243221706556</c:v>
                </c:pt>
                <c:pt idx="3">
                  <c:v>51.408370613049939</c:v>
                </c:pt>
                <c:pt idx="4">
                  <c:v>44.049711606681058</c:v>
                </c:pt>
                <c:pt idx="5">
                  <c:v>39.476751768086828</c:v>
                </c:pt>
                <c:pt idx="6">
                  <c:v>36.259239905008819</c:v>
                </c:pt>
                <c:pt idx="7">
                  <c:v>33.825999731478255</c:v>
                </c:pt>
                <c:pt idx="8">
                  <c:v>30.314400389954105</c:v>
                </c:pt>
                <c:pt idx="9">
                  <c:v>27.84365650885232</c:v>
                </c:pt>
                <c:pt idx="10">
                  <c:v>25.975158885272354</c:v>
                </c:pt>
                <c:pt idx="11">
                  <c:v>24.493535970633435</c:v>
                </c:pt>
                <c:pt idx="12">
                  <c:v>23.278583719376407</c:v>
                </c:pt>
                <c:pt idx="13">
                  <c:v>22.257041882271064</c:v>
                </c:pt>
                <c:pt idx="14">
                  <c:v>21.38128680617654</c:v>
                </c:pt>
                <c:pt idx="15">
                  <c:v>20.618792405908003</c:v>
                </c:pt>
                <c:pt idx="16">
                  <c:v>19.946457886572496</c:v>
                </c:pt>
                <c:pt idx="17">
                  <c:v>19.347347043927588</c:v>
                </c:pt>
                <c:pt idx="18">
                  <c:v>18.808712042508287</c:v>
                </c:pt>
                <c:pt idx="19">
                  <c:v>18.320742446420326</c:v>
                </c:pt>
                <c:pt idx="20">
                  <c:v>17.875743970169175</c:v>
                </c:pt>
                <c:pt idx="21">
                  <c:v>17.467582378080397</c:v>
                </c:pt>
                <c:pt idx="22">
                  <c:v>17.09129674799081</c:v>
                </c:pt>
                <c:pt idx="23">
                  <c:v>16.742824200415058</c:v>
                </c:pt>
                <c:pt idx="24">
                  <c:v>16.418799928185962</c:v>
                </c:pt>
                <c:pt idx="25">
                  <c:v>16.116409278983856</c:v>
                </c:pt>
                <c:pt idx="26">
                  <c:v>15.833276562924572</c:v>
                </c:pt>
                <c:pt idx="27">
                  <c:v>15.567380248441363</c:v>
                </c:pt>
                <c:pt idx="28">
                  <c:v>15.316987433189222</c:v>
                </c:pt>
                <c:pt idx="29">
                  <c:v>15.080602604941424</c:v>
                </c:pt>
                <c:pt idx="30">
                  <c:v>14.856927140777263</c:v>
                </c:pt>
                <c:pt idx="31">
                  <c:v>14.644826975747154</c:v>
                </c:pt>
                <c:pt idx="32">
                  <c:v>14.068592198889737</c:v>
                </c:pt>
                <c:pt idx="33">
                  <c:v>13.266119780120286</c:v>
                </c:pt>
                <c:pt idx="34">
                  <c:v>12.608080772946044</c:v>
                </c:pt>
                <c:pt idx="35">
                  <c:v>12.054796168073484</c:v>
                </c:pt>
                <c:pt idx="36">
                  <c:v>11.580472176982628</c:v>
                </c:pt>
                <c:pt idx="37">
                  <c:v>9.9228287841471943</c:v>
                </c:pt>
                <c:pt idx="38">
                  <c:v>8.8927040487046636</c:v>
                </c:pt>
                <c:pt idx="39">
                  <c:v>7.6197911755944201</c:v>
                </c:pt>
                <c:pt idx="40">
                  <c:v>6.828753101711027</c:v>
                </c:pt>
                <c:pt idx="41">
                  <c:v>6.272182636038929</c:v>
                </c:pt>
                <c:pt idx="42">
                  <c:v>5.8512767702316681</c:v>
                </c:pt>
                <c:pt idx="43">
                  <c:v>5.5175199766366472</c:v>
                </c:pt>
                <c:pt idx="44">
                  <c:v>5.2438345714339265</c:v>
                </c:pt>
                <c:pt idx="45">
                  <c:v>5.0137176336444362</c:v>
                </c:pt>
                <c:pt idx="46">
                  <c:v>4.8164412529378833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50-4B10-A059-67E214087DDA}"/>
            </c:ext>
          </c:extLst>
        </c:ser>
        <c:ser>
          <c:idx val="5"/>
          <c:order val="2"/>
          <c:spPr>
            <a:ln w="19050">
              <a:solidFill>
                <a:schemeClr val="accent1">
                  <a:lumMod val="7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Baselines!$Z$5:$Z$51</c:f>
              <c:numCache>
                <c:formatCode>#,##0</c:formatCode>
                <c:ptCount val="47"/>
                <c:pt idx="0">
                  <c:v>250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Baselines!$AC$5:$AC$51</c:f>
              <c:numCache>
                <c:formatCode>#,##0.00</c:formatCode>
                <c:ptCount val="47"/>
                <c:pt idx="0">
                  <c:v>91.768807983294863</c:v>
                </c:pt>
                <c:pt idx="1">
                  <c:v>84.469027110574018</c:v>
                </c:pt>
                <c:pt idx="2">
                  <c:v>65.771756278229958</c:v>
                </c:pt>
                <c:pt idx="3">
                  <c:v>43.291259463621003</c:v>
                </c:pt>
                <c:pt idx="4">
                  <c:v>37.094493984573525</c:v>
                </c:pt>
                <c:pt idx="5">
                  <c:v>33.243580436283644</c:v>
                </c:pt>
                <c:pt idx="6">
                  <c:v>30.534096762112696</c:v>
                </c:pt>
                <c:pt idx="7">
                  <c:v>28.485052405455374</c:v>
                </c:pt>
                <c:pt idx="8">
                  <c:v>25.527916117856094</c:v>
                </c:pt>
                <c:pt idx="9">
                  <c:v>23.447289691665112</c:v>
                </c:pt>
                <c:pt idx="10">
                  <c:v>21.873818008650403</c:v>
                </c:pt>
                <c:pt idx="11">
                  <c:v>20.62613555421763</c:v>
                </c:pt>
                <c:pt idx="12">
                  <c:v>19.603017868948555</c:v>
                </c:pt>
                <c:pt idx="13">
                  <c:v>18.742772111386159</c:v>
                </c:pt>
                <c:pt idx="14">
                  <c:v>18.005294152569718</c:v>
                </c:pt>
                <c:pt idx="15">
                  <c:v>17.363193604975162</c:v>
                </c:pt>
                <c:pt idx="16">
                  <c:v>16.79701716764</c:v>
                </c:pt>
                <c:pt idx="17">
                  <c:v>16.292502773833757</c:v>
                </c:pt>
                <c:pt idx="18">
                  <c:v>15.838915404217506</c:v>
                </c:pt>
                <c:pt idx="19">
                  <c:v>15.427993639090801</c:v>
                </c:pt>
                <c:pt idx="20">
                  <c:v>15.053258080142465</c:v>
                </c:pt>
                <c:pt idx="21">
                  <c:v>14.709543055225598</c:v>
                </c:pt>
                <c:pt idx="22">
                  <c:v>14.392670945676471</c:v>
                </c:pt>
                <c:pt idx="23">
                  <c:v>14.099220379296893</c:v>
                </c:pt>
                <c:pt idx="24">
                  <c:v>13.826357834261865</c:v>
                </c:pt>
                <c:pt idx="25">
                  <c:v>13.571713077039036</c:v>
                </c:pt>
                <c:pt idx="26">
                  <c:v>13.333285526673325</c:v>
                </c:pt>
                <c:pt idx="27">
                  <c:v>13.109372840792728</c:v>
                </c:pt>
                <c:pt idx="28">
                  <c:v>12.898515733211978</c:v>
                </c:pt>
                <c:pt idx="29">
                  <c:v>12.699454825213833</c:v>
                </c:pt>
                <c:pt idx="30">
                  <c:v>12.511096539601906</c:v>
                </c:pt>
                <c:pt idx="31">
                  <c:v>12.332485874313393</c:v>
                </c:pt>
                <c:pt idx="32">
                  <c:v>11.847235535907148</c:v>
                </c:pt>
                <c:pt idx="33">
                  <c:v>11.171469288522347</c:v>
                </c:pt>
                <c:pt idx="34">
                  <c:v>10.617331177217721</c:v>
                </c:pt>
                <c:pt idx="35">
                  <c:v>10.151407299430304</c:v>
                </c:pt>
                <c:pt idx="36">
                  <c:v>9.7519765700906351</c:v>
                </c:pt>
                <c:pt idx="37">
                  <c:v>8.3560663445450061</c:v>
                </c:pt>
                <c:pt idx="38">
                  <c:v>7.4885928831197184</c:v>
                </c:pt>
                <c:pt idx="39">
                  <c:v>6.4166662531321439</c:v>
                </c:pt>
                <c:pt idx="40">
                  <c:v>5.7505289277566547</c:v>
                </c:pt>
                <c:pt idx="41">
                  <c:v>5.2818380092959405</c:v>
                </c:pt>
                <c:pt idx="42">
                  <c:v>4.9273909644056157</c:v>
                </c:pt>
                <c:pt idx="43">
                  <c:v>4.6463326119045458</c:v>
                </c:pt>
                <c:pt idx="44">
                  <c:v>4.4158606917338332</c:v>
                </c:pt>
                <c:pt idx="45">
                  <c:v>4.2220780072795261</c:v>
                </c:pt>
                <c:pt idx="46">
                  <c:v>4.055950528789797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250-4B10-A059-67E214087DDA}"/>
            </c:ext>
          </c:extLst>
        </c:ser>
        <c:ser>
          <c:idx val="6"/>
          <c:order val="3"/>
          <c:spPr>
            <a:ln w="19050">
              <a:solidFill>
                <a:schemeClr val="tx2">
                  <a:lumMod val="50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Baselines!$Z$5:$Z$51</c:f>
              <c:numCache>
                <c:formatCode>#,##0</c:formatCode>
                <c:ptCount val="47"/>
                <c:pt idx="0">
                  <c:v>250</c:v>
                </c:pt>
                <c:pt idx="1">
                  <c:v>300</c:v>
                </c:pt>
                <c:pt idx="2">
                  <c:v>500</c:v>
                </c:pt>
                <c:pt idx="3">
                  <c:v>1000</c:v>
                </c:pt>
                <c:pt idx="4">
                  <c:v>1500</c:v>
                </c:pt>
                <c:pt idx="5">
                  <c:v>2000</c:v>
                </c:pt>
                <c:pt idx="6">
                  <c:v>2500</c:v>
                </c:pt>
                <c:pt idx="7">
                  <c:v>3000</c:v>
                </c:pt>
                <c:pt idx="8">
                  <c:v>4000</c:v>
                </c:pt>
                <c:pt idx="9">
                  <c:v>5000</c:v>
                </c:pt>
                <c:pt idx="10">
                  <c:v>6000</c:v>
                </c:pt>
                <c:pt idx="11">
                  <c:v>7000</c:v>
                </c:pt>
                <c:pt idx="12">
                  <c:v>8000</c:v>
                </c:pt>
                <c:pt idx="13">
                  <c:v>9000</c:v>
                </c:pt>
                <c:pt idx="14">
                  <c:v>10000</c:v>
                </c:pt>
                <c:pt idx="15">
                  <c:v>11000</c:v>
                </c:pt>
                <c:pt idx="16">
                  <c:v>12000</c:v>
                </c:pt>
                <c:pt idx="17">
                  <c:v>13000</c:v>
                </c:pt>
                <c:pt idx="18">
                  <c:v>14000</c:v>
                </c:pt>
                <c:pt idx="19">
                  <c:v>15000</c:v>
                </c:pt>
                <c:pt idx="20">
                  <c:v>16000</c:v>
                </c:pt>
                <c:pt idx="21">
                  <c:v>17000</c:v>
                </c:pt>
                <c:pt idx="22">
                  <c:v>18000</c:v>
                </c:pt>
                <c:pt idx="23">
                  <c:v>19000</c:v>
                </c:pt>
                <c:pt idx="24">
                  <c:v>20000</c:v>
                </c:pt>
                <c:pt idx="25">
                  <c:v>21000</c:v>
                </c:pt>
                <c:pt idx="26">
                  <c:v>22000</c:v>
                </c:pt>
                <c:pt idx="27">
                  <c:v>23000</c:v>
                </c:pt>
                <c:pt idx="28">
                  <c:v>24000</c:v>
                </c:pt>
                <c:pt idx="29">
                  <c:v>25000</c:v>
                </c:pt>
                <c:pt idx="30">
                  <c:v>26000</c:v>
                </c:pt>
                <c:pt idx="31">
                  <c:v>27000</c:v>
                </c:pt>
                <c:pt idx="32">
                  <c:v>30000</c:v>
                </c:pt>
                <c:pt idx="33">
                  <c:v>35000</c:v>
                </c:pt>
                <c:pt idx="34">
                  <c:v>40000</c:v>
                </c:pt>
                <c:pt idx="35">
                  <c:v>45000</c:v>
                </c:pt>
                <c:pt idx="36">
                  <c:v>50000</c:v>
                </c:pt>
                <c:pt idx="37">
                  <c:v>75000</c:v>
                </c:pt>
                <c:pt idx="38">
                  <c:v>100000</c:v>
                </c:pt>
                <c:pt idx="39">
                  <c:v>150000</c:v>
                </c:pt>
                <c:pt idx="40">
                  <c:v>200000</c:v>
                </c:pt>
                <c:pt idx="41">
                  <c:v>250000</c:v>
                </c:pt>
                <c:pt idx="42">
                  <c:v>300000</c:v>
                </c:pt>
                <c:pt idx="43">
                  <c:v>350000</c:v>
                </c:pt>
                <c:pt idx="44">
                  <c:v>400000</c:v>
                </c:pt>
                <c:pt idx="45">
                  <c:v>450000</c:v>
                </c:pt>
                <c:pt idx="46">
                  <c:v>500000</c:v>
                </c:pt>
              </c:numCache>
            </c:numRef>
          </c:xVal>
          <c:yVal>
            <c:numRef>
              <c:f>Baselines!$AD$5:$AD$51</c:f>
              <c:numCache>
                <c:formatCode>#,##0.00</c:formatCode>
                <c:ptCount val="47"/>
                <c:pt idx="0">
                  <c:v>91.768807983294863</c:v>
                </c:pt>
                <c:pt idx="1">
                  <c:v>83.898290440907971</c:v>
                </c:pt>
                <c:pt idx="2">
                  <c:v>63.422764982578883</c:v>
                </c:pt>
                <c:pt idx="3">
                  <c:v>37.879852030668374</c:v>
                </c:pt>
                <c:pt idx="4">
                  <c:v>32.457682236501832</c:v>
                </c:pt>
                <c:pt idx="5">
                  <c:v>29.088132881748187</c:v>
                </c:pt>
                <c:pt idx="6">
                  <c:v>26.717334666848604</c:v>
                </c:pt>
                <c:pt idx="7">
                  <c:v>24.924420854773448</c:v>
                </c:pt>
                <c:pt idx="8">
                  <c:v>22.336926603124077</c:v>
                </c:pt>
                <c:pt idx="9">
                  <c:v>20.516378480206971</c:v>
                </c:pt>
                <c:pt idx="10">
                  <c:v>19.139590757569103</c:v>
                </c:pt>
                <c:pt idx="11">
                  <c:v>18.047868609940423</c:v>
                </c:pt>
                <c:pt idx="12">
                  <c:v>17.152640635329984</c:v>
                </c:pt>
                <c:pt idx="13">
                  <c:v>16.399925597462889</c:v>
                </c:pt>
                <c:pt idx="14">
                  <c:v>15.754632383498501</c:v>
                </c:pt>
                <c:pt idx="15">
                  <c:v>15.192794404353265</c:v>
                </c:pt>
                <c:pt idx="16">
                  <c:v>14.697390021684997</c:v>
                </c:pt>
                <c:pt idx="17">
                  <c:v>14.255939927104537</c:v>
                </c:pt>
                <c:pt idx="18">
                  <c:v>13.859050978690316</c:v>
                </c:pt>
                <c:pt idx="19">
                  <c:v>13.49949443420445</c:v>
                </c:pt>
                <c:pt idx="20">
                  <c:v>13.171600820124656</c:v>
                </c:pt>
                <c:pt idx="21">
                  <c:v>12.870850173322397</c:v>
                </c:pt>
                <c:pt idx="22">
                  <c:v>12.593587077466912</c:v>
                </c:pt>
                <c:pt idx="23">
                  <c:v>12.33681783188478</c:v>
                </c:pt>
                <c:pt idx="24">
                  <c:v>12.098063104979131</c:v>
                </c:pt>
                <c:pt idx="25">
                  <c:v>11.875248942409156</c:v>
                </c:pt>
                <c:pt idx="26">
                  <c:v>11.666624835839158</c:v>
                </c:pt>
                <c:pt idx="27">
                  <c:v>11.470701235693635</c:v>
                </c:pt>
                <c:pt idx="28">
                  <c:v>11.286201266560479</c:v>
                </c:pt>
                <c:pt idx="29">
                  <c:v>11.112022972062102</c:v>
                </c:pt>
                <c:pt idx="30">
                  <c:v>10.947209472151666</c:v>
                </c:pt>
                <c:pt idx="31">
                  <c:v>10.790925140024218</c:v>
                </c:pt>
                <c:pt idx="32">
                  <c:v>10.366331093918753</c:v>
                </c:pt>
                <c:pt idx="33">
                  <c:v>9.7750356274570525</c:v>
                </c:pt>
                <c:pt idx="34">
                  <c:v>9.2901647800655063</c:v>
                </c:pt>
                <c:pt idx="35">
                  <c:v>8.8824813870015138</c:v>
                </c:pt>
                <c:pt idx="36">
                  <c:v>8.5329794988293042</c:v>
                </c:pt>
                <c:pt idx="37">
                  <c:v>7.3115580514768794</c:v>
                </c:pt>
                <c:pt idx="38">
                  <c:v>6.5525187727297522</c:v>
                </c:pt>
                <c:pt idx="39">
                  <c:v>5.6145829714906252</c:v>
                </c:pt>
                <c:pt idx="40">
                  <c:v>5.0317128117870729</c:v>
                </c:pt>
                <c:pt idx="41">
                  <c:v>4.6216082581339473</c:v>
                </c:pt>
                <c:pt idx="42">
                  <c:v>4.3114670938549136</c:v>
                </c:pt>
                <c:pt idx="43">
                  <c:v>4.0655410354164774</c:v>
                </c:pt>
                <c:pt idx="44">
                  <c:v>3.8638781052671036</c:v>
                </c:pt>
                <c:pt idx="45">
                  <c:v>3.6943182563695847</c:v>
                </c:pt>
                <c:pt idx="46">
                  <c:v>3.5489567126910719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250-4B10-A059-67E214087DDA}"/>
            </c:ext>
          </c:extLst>
        </c:ser>
        <c:ser>
          <c:idx val="1"/>
          <c:order val="4"/>
          <c:tx>
            <c:strRef>
              <c:f>RoPax!$D$8</c:f>
              <c:strCache>
                <c:ptCount val="1"/>
                <c:pt idx="0">
                  <c:v>#1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RoPax!$D$15</c:f>
              <c:numCache>
                <c:formatCode>#,##0</c:formatCode>
                <c:ptCount val="1"/>
                <c:pt idx="0">
                  <c:v>1000</c:v>
                </c:pt>
              </c:numCache>
            </c:numRef>
          </c:xVal>
          <c:yVal>
            <c:numRef>
              <c:f>RoPax!$D$32</c:f>
              <c:numCache>
                <c:formatCode>0.00</c:formatCode>
                <c:ptCount val="1"/>
                <c:pt idx="0">
                  <c:v>38.128306343881263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50-4B10-A059-67E214087DDA}"/>
            </c:ext>
          </c:extLst>
        </c:ser>
        <c:ser>
          <c:idx val="2"/>
          <c:order val="5"/>
          <c:tx>
            <c:strRef>
              <c:f>RoPax!$E$8</c:f>
              <c:strCache>
                <c:ptCount val="1"/>
                <c:pt idx="0">
                  <c:v>#2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RoPax!$E$15</c:f>
              <c:numCache>
                <c:formatCode>#,##0</c:formatCode>
                <c:ptCount val="1"/>
                <c:pt idx="0">
                  <c:v>5000</c:v>
                </c:pt>
              </c:numCache>
            </c:numRef>
          </c:xVal>
          <c:yVal>
            <c:numRef>
              <c:f>RoPax!$E$32</c:f>
              <c:numCache>
                <c:formatCode>0.00</c:formatCode>
                <c:ptCount val="1"/>
                <c:pt idx="0">
                  <c:v>27.634621048518419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50-4B10-A059-67E214087DDA}"/>
            </c:ext>
          </c:extLst>
        </c:ser>
        <c:ser>
          <c:idx val="3"/>
          <c:order val="6"/>
          <c:tx>
            <c:strRef>
              <c:f>RoPax!$F$8</c:f>
              <c:strCache>
                <c:ptCount val="1"/>
                <c:pt idx="0">
                  <c:v>#3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RoPax!$F$15</c:f>
              <c:numCache>
                <c:formatCode>#,##0</c:formatCode>
                <c:ptCount val="1"/>
                <c:pt idx="0">
                  <c:v>12000</c:v>
                </c:pt>
              </c:numCache>
            </c:numRef>
          </c:xVal>
          <c:yVal>
            <c:numRef>
              <c:f>RoPax!$F$32</c:f>
              <c:numCache>
                <c:formatCode>0.00</c:formatCode>
                <c:ptCount val="1"/>
                <c:pt idx="0">
                  <c:v>13.764811937760918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50-4B10-A059-67E214087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453032"/>
        <c:axId val="468454208"/>
      </c:scatterChart>
      <c:valAx>
        <c:axId val="468453032"/>
        <c:scaling>
          <c:orientation val="minMax"/>
          <c:max val="1500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CAPACITY - DWT</a:t>
                </a:r>
              </a:p>
            </c:rich>
          </c:tx>
          <c:overlay val="0"/>
        </c:title>
        <c:numFmt formatCode="#,##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8454208"/>
        <c:crosses val="autoZero"/>
        <c:crossBetween val="midCat"/>
        <c:majorUnit val="2500"/>
        <c:minorUnit val="500"/>
      </c:valAx>
      <c:valAx>
        <c:axId val="468454208"/>
        <c:scaling>
          <c:orientation val="minMax"/>
          <c:max val="75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b="1"/>
                  <a:t>EEDI</a:t>
                </a:r>
              </a:p>
            </c:rich>
          </c:tx>
          <c:layout>
            <c:manualLayout>
              <c:xMode val="edge"/>
              <c:yMode val="edge"/>
              <c:x val="2.4279210925645008E-2"/>
              <c:y val="0.430875576036867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468453032"/>
        <c:crosses val="autoZero"/>
        <c:crossBetween val="midCat"/>
        <c:majorUnit val="5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44</xdr:row>
      <xdr:rowOff>47626</xdr:rowOff>
    </xdr:from>
    <xdr:to>
      <xdr:col>5</xdr:col>
      <xdr:colOff>695326</xdr:colOff>
      <xdr:row>65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38102</xdr:colOff>
      <xdr:row>36</xdr:row>
      <xdr:rowOff>47625</xdr:rowOff>
    </xdr:from>
    <xdr:to>
      <xdr:col>5</xdr:col>
      <xdr:colOff>485776</xdr:colOff>
      <xdr:row>62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64</xdr:row>
      <xdr:rowOff>0</xdr:rowOff>
    </xdr:from>
    <xdr:to>
      <xdr:col>5</xdr:col>
      <xdr:colOff>447674</xdr:colOff>
      <xdr:row>90</xdr:row>
      <xdr:rowOff>38100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28575</xdr:rowOff>
    </xdr:from>
    <xdr:to>
      <xdr:col>5</xdr:col>
      <xdr:colOff>447674</xdr:colOff>
      <xdr:row>53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28575</xdr:rowOff>
    </xdr:from>
    <xdr:to>
      <xdr:col>5</xdr:col>
      <xdr:colOff>447674</xdr:colOff>
      <xdr:row>56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66675</xdr:rowOff>
    </xdr:from>
    <xdr:to>
      <xdr:col>5</xdr:col>
      <xdr:colOff>447674</xdr:colOff>
      <xdr:row>59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4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0</xdr:row>
          <xdr:rowOff>38100</xdr:rowOff>
        </xdr:from>
        <xdr:to>
          <xdr:col>5</xdr:col>
          <xdr:colOff>638175</xdr:colOff>
          <xdr:row>5</xdr:row>
          <xdr:rowOff>85725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114300</xdr:rowOff>
    </xdr:from>
    <xdr:to>
      <xdr:col>0</xdr:col>
      <xdr:colOff>2101850</xdr:colOff>
      <xdr:row>5</xdr:row>
      <xdr:rowOff>8255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1850" cy="608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showGridLines="0" zoomScaleNormal="100" workbookViewId="0">
      <selection activeCell="D9" sqref="D9"/>
    </sheetView>
  </sheetViews>
  <sheetFormatPr defaultRowHeight="12.75" x14ac:dyDescent="0.2"/>
  <cols>
    <col min="1" max="1" width="31.7109375" style="35" customWidth="1"/>
    <col min="2" max="2" width="10.5703125" style="35" customWidth="1"/>
    <col min="3" max="3" width="12.7109375" style="35" customWidth="1"/>
    <col min="4" max="6" width="10.7109375" style="35" customWidth="1"/>
    <col min="7" max="7" width="1.28515625" style="35" customWidth="1"/>
    <col min="8" max="16384" width="9.140625" style="35"/>
  </cols>
  <sheetData>
    <row r="1" spans="1:9" s="23" customFormat="1" ht="11.25" customHeight="1" x14ac:dyDescent="0.2">
      <c r="A1" s="22"/>
      <c r="C1" s="24"/>
      <c r="D1" s="24"/>
      <c r="E1" s="24"/>
      <c r="F1" s="24"/>
      <c r="G1" s="24"/>
      <c r="H1" s="24"/>
    </row>
    <row r="2" spans="1:9" s="23" customFormat="1" ht="11.25" customHeight="1" x14ac:dyDescent="0.2">
      <c r="B2" s="23" t="s">
        <v>129</v>
      </c>
      <c r="C2" s="135" t="s">
        <v>131</v>
      </c>
      <c r="D2" s="135"/>
      <c r="E2" s="25"/>
      <c r="F2" s="25"/>
      <c r="G2" s="25"/>
      <c r="I2" s="24"/>
    </row>
    <row r="3" spans="1:9" s="23" customFormat="1" ht="11.25" customHeight="1" x14ac:dyDescent="0.2">
      <c r="B3" s="23" t="s">
        <v>130</v>
      </c>
      <c r="C3" s="136" t="str">
        <f ca="1">MID(CELL("filename",A1),FIND("]",CELL("filename",A1))+1,255)</f>
        <v>LNG Carriers</v>
      </c>
      <c r="D3" s="136"/>
      <c r="E3" s="25"/>
      <c r="F3" s="25"/>
      <c r="G3" s="25"/>
      <c r="H3" s="26"/>
      <c r="I3" s="27"/>
    </row>
    <row r="4" spans="1:9" s="23" customFormat="1" ht="11.25" customHeight="1" x14ac:dyDescent="0.2">
      <c r="B4" s="128"/>
      <c r="C4" s="130" t="s">
        <v>52</v>
      </c>
      <c r="D4" s="129"/>
      <c r="E4" s="25"/>
      <c r="F4" s="25"/>
      <c r="G4" s="25"/>
    </row>
    <row r="5" spans="1:9" s="23" customFormat="1" ht="11.25" customHeight="1" x14ac:dyDescent="0.2">
      <c r="A5" s="28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29"/>
      <c r="F5" s="29"/>
      <c r="G5" s="29"/>
      <c r="H5" s="28"/>
      <c r="I5" s="28"/>
    </row>
    <row r="6" spans="1:9" s="23" customFormat="1" ht="11.25" customHeight="1" x14ac:dyDescent="0.2">
      <c r="A6" s="30"/>
      <c r="B6" s="30"/>
      <c r="C6" s="30"/>
      <c r="D6" s="127"/>
      <c r="E6" s="31"/>
      <c r="F6" s="31"/>
      <c r="G6" s="31"/>
      <c r="H6" s="32"/>
      <c r="I6" s="28"/>
    </row>
    <row r="7" spans="1:9" s="23" customFormat="1" ht="11.25" customHeight="1" x14ac:dyDescent="0.25">
      <c r="A7" s="33"/>
      <c r="B7" s="33"/>
      <c r="C7" s="34"/>
      <c r="D7" s="34"/>
      <c r="E7" s="34"/>
      <c r="F7" s="34"/>
      <c r="G7" s="34"/>
      <c r="H7" s="34"/>
      <c r="I7" s="33"/>
    </row>
    <row r="8" spans="1:9" s="21" customFormat="1" x14ac:dyDescent="0.2">
      <c r="A8" s="5"/>
      <c r="B8" s="6"/>
      <c r="C8" s="6"/>
      <c r="D8" s="75" t="s">
        <v>21</v>
      </c>
      <c r="E8" s="75" t="s">
        <v>22</v>
      </c>
      <c r="F8" s="75" t="s">
        <v>23</v>
      </c>
      <c r="G8" s="45"/>
    </row>
    <row r="9" spans="1:9" s="21" customFormat="1" x14ac:dyDescent="0.2">
      <c r="A9" s="8" t="s">
        <v>0</v>
      </c>
      <c r="B9" s="9"/>
      <c r="C9" s="9"/>
      <c r="D9" s="36" t="s">
        <v>133</v>
      </c>
      <c r="E9" s="36" t="s">
        <v>134</v>
      </c>
      <c r="F9" s="36" t="s">
        <v>70</v>
      </c>
      <c r="G9" s="47"/>
    </row>
    <row r="10" spans="1:9" s="21" customFormat="1" ht="6" customHeight="1" x14ac:dyDescent="0.2">
      <c r="A10" s="8"/>
      <c r="B10" s="9"/>
      <c r="C10" s="9"/>
      <c r="D10" s="46"/>
      <c r="E10" s="46"/>
      <c r="F10" s="46"/>
      <c r="G10" s="47"/>
    </row>
    <row r="11" spans="1:9" s="21" customFormat="1" ht="14.25" x14ac:dyDescent="0.25">
      <c r="A11" s="8" t="s">
        <v>24</v>
      </c>
      <c r="B11" s="9" t="s">
        <v>34</v>
      </c>
      <c r="C11" s="9" t="s">
        <v>25</v>
      </c>
      <c r="D11" s="38">
        <v>279</v>
      </c>
      <c r="E11" s="38">
        <v>279</v>
      </c>
      <c r="F11" s="38">
        <v>279</v>
      </c>
      <c r="G11" s="47"/>
    </row>
    <row r="12" spans="1:9" s="21" customFormat="1" x14ac:dyDescent="0.2">
      <c r="A12" s="8" t="s">
        <v>32</v>
      </c>
      <c r="B12" s="9" t="s">
        <v>1</v>
      </c>
      <c r="C12" s="9" t="s">
        <v>4</v>
      </c>
      <c r="D12" s="39">
        <v>96811</v>
      </c>
      <c r="E12" s="39">
        <v>96811</v>
      </c>
      <c r="F12" s="39">
        <v>96811</v>
      </c>
      <c r="G12" s="47"/>
    </row>
    <row r="13" spans="1:9" s="21" customFormat="1" ht="15" x14ac:dyDescent="0.2">
      <c r="A13" s="8" t="s">
        <v>79</v>
      </c>
      <c r="B13" s="9" t="s">
        <v>57</v>
      </c>
      <c r="C13" s="9" t="s">
        <v>80</v>
      </c>
      <c r="D13" s="39">
        <v>173593.3</v>
      </c>
      <c r="E13" s="39">
        <v>173593.3</v>
      </c>
      <c r="F13" s="39">
        <v>173593.3</v>
      </c>
      <c r="G13" s="47"/>
      <c r="I13" s="61"/>
    </row>
    <row r="14" spans="1:9" s="21" customFormat="1" ht="6" customHeight="1" x14ac:dyDescent="0.2">
      <c r="A14" s="56"/>
      <c r="B14" s="9"/>
      <c r="C14" s="46"/>
      <c r="D14" s="46"/>
      <c r="E14" s="46"/>
      <c r="F14" s="46"/>
      <c r="G14" s="47"/>
      <c r="I14" s="61"/>
    </row>
    <row r="15" spans="1:9" s="21" customFormat="1" x14ac:dyDescent="0.2">
      <c r="A15" s="65" t="s">
        <v>90</v>
      </c>
      <c r="B15" s="66"/>
      <c r="C15" s="73"/>
      <c r="D15" s="46"/>
      <c r="E15" s="46"/>
      <c r="F15" s="46"/>
      <c r="G15" s="47"/>
      <c r="I15" s="61"/>
    </row>
    <row r="16" spans="1:9" s="21" customFormat="1" ht="14.25" x14ac:dyDescent="0.25">
      <c r="A16" s="74" t="s">
        <v>91</v>
      </c>
      <c r="B16" s="66" t="s">
        <v>94</v>
      </c>
      <c r="C16" s="66" t="s">
        <v>5</v>
      </c>
      <c r="D16" s="39">
        <v>30000</v>
      </c>
      <c r="E16" s="39"/>
      <c r="F16" s="39"/>
      <c r="G16" s="47"/>
    </row>
    <row r="17" spans="1:9" s="21" customFormat="1" ht="14.25" x14ac:dyDescent="0.25">
      <c r="A17" s="74" t="s">
        <v>92</v>
      </c>
      <c r="B17" s="66" t="s">
        <v>116</v>
      </c>
      <c r="C17" s="66" t="s">
        <v>5</v>
      </c>
      <c r="D17" s="39">
        <v>1200</v>
      </c>
      <c r="E17" s="39">
        <v>8307</v>
      </c>
      <c r="F17" s="39"/>
      <c r="G17" s="47"/>
    </row>
    <row r="18" spans="1:9" s="21" customFormat="1" ht="6" customHeight="1" x14ac:dyDescent="0.2">
      <c r="A18" s="56"/>
      <c r="B18" s="9"/>
      <c r="C18" s="46"/>
      <c r="D18" s="46"/>
      <c r="E18" s="46"/>
      <c r="F18" s="46"/>
      <c r="G18" s="47"/>
      <c r="I18" s="61"/>
    </row>
    <row r="19" spans="1:9" s="21" customFormat="1" x14ac:dyDescent="0.2">
      <c r="A19" s="56" t="s">
        <v>86</v>
      </c>
      <c r="B19" s="9"/>
      <c r="C19" s="46"/>
      <c r="D19" s="46"/>
      <c r="E19" s="46"/>
      <c r="F19" s="46"/>
      <c r="G19" s="47"/>
      <c r="I19" s="61"/>
    </row>
    <row r="20" spans="1:9" s="21" customFormat="1" x14ac:dyDescent="0.2">
      <c r="A20" s="68" t="s">
        <v>81</v>
      </c>
      <c r="B20" s="57" t="s">
        <v>82</v>
      </c>
      <c r="C20" s="57" t="s">
        <v>5</v>
      </c>
      <c r="D20" s="39"/>
      <c r="E20" s="39">
        <v>35000</v>
      </c>
      <c r="F20" s="39"/>
      <c r="G20" s="47"/>
    </row>
    <row r="21" spans="1:9" s="21" customFormat="1" x14ac:dyDescent="0.2">
      <c r="A21" s="68" t="s">
        <v>83</v>
      </c>
      <c r="B21" s="57" t="s">
        <v>84</v>
      </c>
      <c r="C21" s="57" t="s">
        <v>85</v>
      </c>
      <c r="D21" s="67">
        <v>0.91300000000000003</v>
      </c>
      <c r="E21" s="67">
        <v>0.91300000000000003</v>
      </c>
      <c r="F21" s="67">
        <v>0.91300000000000003</v>
      </c>
      <c r="G21" s="47"/>
    </row>
    <row r="22" spans="1:9" s="21" customFormat="1" ht="6" customHeight="1" x14ac:dyDescent="0.2">
      <c r="A22" s="56"/>
      <c r="B22" s="9"/>
      <c r="C22" s="46"/>
      <c r="D22" s="46"/>
      <c r="E22" s="46"/>
      <c r="F22" s="46"/>
      <c r="G22" s="47"/>
      <c r="I22" s="61"/>
    </row>
    <row r="23" spans="1:9" s="21" customFormat="1" x14ac:dyDescent="0.2">
      <c r="A23" s="69" t="s">
        <v>87</v>
      </c>
      <c r="B23" s="70"/>
      <c r="C23" s="71"/>
      <c r="D23" s="46"/>
      <c r="E23" s="46"/>
      <c r="F23" s="46"/>
      <c r="G23" s="47"/>
      <c r="I23" s="61"/>
    </row>
    <row r="24" spans="1:9" s="21" customFormat="1" ht="12.75" customHeight="1" x14ac:dyDescent="0.25">
      <c r="A24" s="72" t="s">
        <v>88</v>
      </c>
      <c r="B24" s="70" t="s">
        <v>89</v>
      </c>
      <c r="C24" s="70" t="s">
        <v>5</v>
      </c>
      <c r="D24" s="39"/>
      <c r="E24" s="39"/>
      <c r="F24" s="39">
        <v>30000</v>
      </c>
      <c r="G24" s="47"/>
    </row>
    <row r="25" spans="1:9" s="21" customFormat="1" ht="14.25" x14ac:dyDescent="0.25">
      <c r="A25" s="72" t="s">
        <v>93</v>
      </c>
      <c r="B25" s="70" t="s">
        <v>117</v>
      </c>
      <c r="C25" s="70" t="s">
        <v>5</v>
      </c>
      <c r="D25" s="39"/>
      <c r="E25" s="39"/>
      <c r="F25" s="39">
        <v>1200</v>
      </c>
      <c r="G25" s="47"/>
    </row>
    <row r="26" spans="1:9" s="21" customFormat="1" ht="6" customHeight="1" x14ac:dyDescent="0.2">
      <c r="A26" s="56"/>
      <c r="B26" s="9"/>
      <c r="C26" s="46"/>
      <c r="D26" s="46"/>
      <c r="E26" s="46"/>
      <c r="F26" s="46"/>
      <c r="G26" s="47"/>
      <c r="I26" s="61"/>
    </row>
    <row r="27" spans="1:9" s="21" customFormat="1" ht="12.75" customHeight="1" x14ac:dyDescent="0.2">
      <c r="A27" s="76" t="s">
        <v>104</v>
      </c>
      <c r="B27" s="9"/>
      <c r="C27" s="77" t="s">
        <v>95</v>
      </c>
      <c r="D27" s="78"/>
      <c r="E27" s="78"/>
      <c r="F27" s="78"/>
      <c r="G27" s="47"/>
      <c r="I27" s="61"/>
    </row>
    <row r="28" spans="1:9" s="21" customFormat="1" ht="12.75" customHeight="1" x14ac:dyDescent="0.2">
      <c r="A28" s="81" t="s">
        <v>98</v>
      </c>
      <c r="B28" s="82" t="s">
        <v>96</v>
      </c>
      <c r="C28" s="77" t="s">
        <v>97</v>
      </c>
      <c r="D28" s="79">
        <v>1.5E-3</v>
      </c>
      <c r="E28" s="79">
        <v>1.5E-3</v>
      </c>
      <c r="F28" s="79"/>
      <c r="G28" s="47"/>
      <c r="I28" s="61"/>
    </row>
    <row r="29" spans="1:9" s="21" customFormat="1" ht="12.75" customHeight="1" x14ac:dyDescent="0.25">
      <c r="A29" s="81" t="s">
        <v>101</v>
      </c>
      <c r="B29" s="82" t="s">
        <v>100</v>
      </c>
      <c r="C29" s="77"/>
      <c r="D29" s="80">
        <v>0.16600000000000001</v>
      </c>
      <c r="E29" s="80">
        <v>0.16600000000000001</v>
      </c>
      <c r="F29" s="80"/>
      <c r="G29" s="47"/>
      <c r="I29" s="61"/>
    </row>
    <row r="30" spans="1:9" s="21" customFormat="1" ht="12.75" customHeight="1" x14ac:dyDescent="0.25">
      <c r="A30" s="81" t="s">
        <v>101</v>
      </c>
      <c r="B30" s="82" t="s">
        <v>99</v>
      </c>
      <c r="C30" s="77"/>
      <c r="D30" s="80">
        <f>(425*511)/(24*3600*D29)</f>
        <v>15.142165885765282</v>
      </c>
      <c r="E30" s="80">
        <f t="shared" ref="E30" si="0">(425*511)/(24*3600*E29)</f>
        <v>15.142165885765282</v>
      </c>
      <c r="F30" s="80"/>
      <c r="G30" s="47"/>
      <c r="I30" s="61"/>
    </row>
    <row r="31" spans="1:9" s="21" customFormat="1" ht="12.75" customHeight="1" x14ac:dyDescent="0.25">
      <c r="A31" s="81" t="s">
        <v>102</v>
      </c>
      <c r="B31" s="82" t="s">
        <v>103</v>
      </c>
      <c r="C31" s="77"/>
      <c r="D31" s="80">
        <v>0.9</v>
      </c>
      <c r="E31" s="80">
        <v>0.9</v>
      </c>
      <c r="F31" s="80"/>
      <c r="G31" s="47"/>
      <c r="I31" s="61"/>
    </row>
    <row r="32" spans="1:9" s="21" customFormat="1" ht="14.25" x14ac:dyDescent="0.25">
      <c r="A32" s="8" t="s">
        <v>8</v>
      </c>
      <c r="B32" s="9" t="s">
        <v>37</v>
      </c>
      <c r="C32" s="9" t="s">
        <v>5</v>
      </c>
      <c r="D32" s="11">
        <f>IF(D16&gt;=10000,(0.025*D16)+250,0.05*D16)+D13*D28*D30*D31</f>
        <v>4548.5810360975147</v>
      </c>
      <c r="E32" s="11">
        <f>IF(E20&gt;=10000,(0.025*E20)+250,0.05*E20)+E13*E28*E30*E31</f>
        <v>4673.5810360975147</v>
      </c>
      <c r="F32" s="11">
        <v>0</v>
      </c>
      <c r="G32" s="49"/>
    </row>
    <row r="33" spans="1:7" s="21" customFormat="1" ht="14.25" x14ac:dyDescent="0.25">
      <c r="A33" s="8" t="s">
        <v>109</v>
      </c>
      <c r="B33" s="9" t="s">
        <v>108</v>
      </c>
      <c r="C33" s="9" t="s">
        <v>5</v>
      </c>
      <c r="D33" s="64">
        <f>IF(0.75^2*D17&lt;=D32,0.75^2*D17,D32)</f>
        <v>675</v>
      </c>
      <c r="E33" s="64">
        <f t="shared" ref="E33:F33" si="1">IF(0.75^2*E17&lt;=E32,0.75^2*E17,E32)</f>
        <v>4672.6875</v>
      </c>
      <c r="F33" s="64">
        <f t="shared" si="1"/>
        <v>0</v>
      </c>
      <c r="G33" s="47"/>
    </row>
    <row r="34" spans="1:7" s="21" customFormat="1" ht="14.25" x14ac:dyDescent="0.25">
      <c r="A34" s="8" t="s">
        <v>27</v>
      </c>
      <c r="B34" s="9" t="s">
        <v>36</v>
      </c>
      <c r="C34" s="9" t="s">
        <v>5</v>
      </c>
      <c r="D34" s="11">
        <f>0.75*D16-D33</f>
        <v>21825</v>
      </c>
      <c r="E34" s="11">
        <f>0.75*E20-E33</f>
        <v>21577.3125</v>
      </c>
      <c r="F34" s="11">
        <f>0.75*F24-F33</f>
        <v>22500</v>
      </c>
      <c r="G34" s="49"/>
    </row>
    <row r="35" spans="1:7" s="21" customFormat="1" ht="14.25" x14ac:dyDescent="0.25">
      <c r="A35" s="12" t="s">
        <v>38</v>
      </c>
      <c r="B35" s="9" t="s">
        <v>39</v>
      </c>
      <c r="C35" s="9" t="s">
        <v>6</v>
      </c>
      <c r="D35" s="40">
        <v>19</v>
      </c>
      <c r="E35" s="40">
        <v>19</v>
      </c>
      <c r="F35" s="40">
        <v>19</v>
      </c>
      <c r="G35" s="47"/>
    </row>
    <row r="36" spans="1:7" s="21" customFormat="1" ht="6" customHeight="1" x14ac:dyDescent="0.2">
      <c r="A36" s="8"/>
      <c r="B36" s="9"/>
      <c r="C36" s="9"/>
      <c r="D36" s="46"/>
      <c r="E36" s="46"/>
      <c r="F36" s="46"/>
      <c r="G36" s="47"/>
    </row>
    <row r="37" spans="1:7" s="21" customFormat="1" ht="14.25" x14ac:dyDescent="0.25">
      <c r="A37" s="8" t="s">
        <v>2</v>
      </c>
      <c r="B37" s="9" t="s">
        <v>44</v>
      </c>
      <c r="C37" s="9" t="s">
        <v>7</v>
      </c>
      <c r="D37" s="132">
        <v>190</v>
      </c>
      <c r="E37" s="132">
        <v>175</v>
      </c>
      <c r="F37" s="132">
        <v>285</v>
      </c>
      <c r="G37" s="48"/>
    </row>
    <row r="38" spans="1:7" s="21" customFormat="1" ht="14.25" x14ac:dyDescent="0.25">
      <c r="A38" s="8" t="s">
        <v>3</v>
      </c>
      <c r="B38" s="9" t="s">
        <v>45</v>
      </c>
      <c r="C38" s="9" t="s">
        <v>7</v>
      </c>
      <c r="D38" s="132">
        <v>215</v>
      </c>
      <c r="E38" s="132">
        <v>190</v>
      </c>
      <c r="F38" s="132">
        <v>285</v>
      </c>
      <c r="G38" s="48"/>
    </row>
    <row r="39" spans="1:7" s="21" customFormat="1" ht="14.25" x14ac:dyDescent="0.25">
      <c r="A39" s="8" t="s">
        <v>105</v>
      </c>
      <c r="B39" s="9" t="s">
        <v>47</v>
      </c>
      <c r="C39" s="9" t="s">
        <v>48</v>
      </c>
      <c r="D39" s="133">
        <v>3.1143999999999998</v>
      </c>
      <c r="E39" s="133">
        <v>2.75</v>
      </c>
      <c r="F39" s="133">
        <v>2.75</v>
      </c>
      <c r="G39" s="48"/>
    </row>
    <row r="40" spans="1:7" s="21" customFormat="1" ht="14.25" x14ac:dyDescent="0.25">
      <c r="A40" s="8" t="s">
        <v>106</v>
      </c>
      <c r="B40" s="9" t="s">
        <v>50</v>
      </c>
      <c r="C40" s="9" t="s">
        <v>48</v>
      </c>
      <c r="D40" s="133">
        <v>3.1143999999999998</v>
      </c>
      <c r="E40" s="133">
        <v>2.75</v>
      </c>
      <c r="F40" s="133">
        <v>2.75</v>
      </c>
      <c r="G40" s="48"/>
    </row>
    <row r="41" spans="1:7" s="21" customFormat="1" ht="6" customHeight="1" x14ac:dyDescent="0.2">
      <c r="A41" s="8"/>
      <c r="B41" s="9"/>
      <c r="C41" s="9"/>
      <c r="D41" s="9"/>
      <c r="E41" s="9"/>
      <c r="F41" s="9"/>
      <c r="G41" s="49"/>
    </row>
    <row r="42" spans="1:7" s="1" customFormat="1" ht="14.25" x14ac:dyDescent="0.25">
      <c r="A42" s="120" t="s">
        <v>118</v>
      </c>
      <c r="B42" s="134" t="s">
        <v>120</v>
      </c>
      <c r="C42" s="126">
        <f>IF($B$42="Phase 3",0.3,IF($B$42="Phase 2",0.2,IF($B$42="Phase 1",0.1,0)))</f>
        <v>0</v>
      </c>
      <c r="D42" s="62">
        <f>IF(D12&lt;10000,0,(a_LNG*D12^(-c_LNG))*(1-($C$42)))</f>
        <v>9.7626516689882958</v>
      </c>
      <c r="E42" s="62">
        <f>IF(E12&lt;10000,0,(a_LNG*E12^(-c_LNG))*(1-($C$42)))</f>
        <v>9.7626516689882958</v>
      </c>
      <c r="F42" s="62">
        <f>IF(F12&lt;10000,0,(a_LNG*F12^(-c_LNG))*(1-($C$42)))</f>
        <v>9.7626516689882958</v>
      </c>
      <c r="G42" s="10"/>
    </row>
    <row r="43" spans="1:7" s="1" customFormat="1" ht="14.25" x14ac:dyDescent="0.25">
      <c r="A43" s="8" t="s">
        <v>51</v>
      </c>
      <c r="B43" s="9"/>
      <c r="C43" s="9"/>
      <c r="D43" s="62">
        <f>IF(D12&lt;=0,0,((D34*D37*D39)+(D33*D37*D39)+((D32-D33)*D38*D40))/(D12*D35))</f>
        <v>8.6483182193012809</v>
      </c>
      <c r="E43" s="62">
        <f t="shared" ref="E43:F43" si="2">IF(E12&lt;=0,0,((E34*E37*E39)+(E33*E37*E39)+((E32-E33)*E38*E40))/(E12*E35))</f>
        <v>6.8681187123749803</v>
      </c>
      <c r="F43" s="62">
        <f t="shared" si="2"/>
        <v>9.5869787524144989</v>
      </c>
      <c r="G43" s="10"/>
    </row>
    <row r="44" spans="1:7" s="1" customFormat="1" x14ac:dyDescent="0.2">
      <c r="A44" s="14" t="s">
        <v>119</v>
      </c>
      <c r="B44" s="122" t="str">
        <f>$B42</f>
        <v>Phase 0</v>
      </c>
      <c r="C44" s="15"/>
      <c r="D44" s="55">
        <f>(D42-D43)/D42</f>
        <v>0.11414249811111958</v>
      </c>
      <c r="E44" s="55">
        <f>IF(E42=0,0,(E42-E43)/E42)</f>
        <v>0.29649044693543553</v>
      </c>
      <c r="F44" s="55">
        <f>IF(F42=0,0,(F42-F43)/F42)</f>
        <v>1.7994385391402776E-2</v>
      </c>
      <c r="G44" s="16"/>
    </row>
    <row r="45" spans="1:7" s="43" customFormat="1" x14ac:dyDescent="0.2">
      <c r="A45" s="42"/>
    </row>
    <row r="46" spans="1:7" s="43" customFormat="1" x14ac:dyDescent="0.2">
      <c r="A46" s="42"/>
      <c r="C46" s="37"/>
      <c r="D46" s="37"/>
      <c r="E46" s="37"/>
      <c r="F46" s="37"/>
      <c r="G46" s="37"/>
    </row>
    <row r="47" spans="1:7" s="43" customFormat="1" x14ac:dyDescent="0.2">
      <c r="A47" s="42"/>
      <c r="C47" s="44"/>
      <c r="D47" s="44"/>
      <c r="E47" s="44"/>
      <c r="F47" s="44"/>
      <c r="G47" s="44"/>
    </row>
  </sheetData>
  <sheetProtection algorithmName="SHA-512" hashValue="roY1PzfYJFPHI6w7HWCq2tbjJ1Cz8LEnjO/mPVznZsGhnx15x6e6ub/nBm8CMKzzt5Z5XRqL2gu1Mo7/Bzte4w==" saltValue="ibiP8as9uJhg6VNlkwrf8g==" spinCount="100000" sheet="1" selectLockedCells="1"/>
  <mergeCells count="2">
    <mergeCell ref="C2:D2"/>
    <mergeCell ref="C3:D3"/>
  </mergeCells>
  <conditionalFormatting sqref="D44:F44">
    <cfRule type="cellIs" dxfId="11" priority="1" operator="greaterThanOrEqual">
      <formula>0</formula>
    </cfRule>
    <cfRule type="cellIs" dxfId="10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6385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1638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Data!$A$1:$A$4</xm:f>
          </x14:formula1>
          <xm:sqref>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9"/>
  <sheetViews>
    <sheetView showGridLines="0" zoomScaleNormal="100" workbookViewId="0">
      <selection activeCell="D9" sqref="D9"/>
    </sheetView>
  </sheetViews>
  <sheetFormatPr defaultRowHeight="12.75" x14ac:dyDescent="0.2"/>
  <cols>
    <col min="1" max="1" width="32.28515625" style="35" customWidth="1"/>
    <col min="2" max="2" width="8.42578125" style="35" customWidth="1"/>
    <col min="3" max="3" width="12.7109375" style="35" customWidth="1"/>
    <col min="4" max="6" width="10.7109375" style="35" customWidth="1"/>
    <col min="7" max="7" width="1.28515625" style="35" customWidth="1"/>
    <col min="8" max="16384" width="9.140625" style="35"/>
  </cols>
  <sheetData>
    <row r="1" spans="1:9" s="23" customFormat="1" ht="11.25" customHeight="1" x14ac:dyDescent="0.2">
      <c r="A1" s="22"/>
      <c r="C1" s="24"/>
      <c r="D1" s="24"/>
      <c r="E1" s="24"/>
      <c r="F1" s="24"/>
      <c r="G1" s="24"/>
      <c r="H1" s="24"/>
    </row>
    <row r="2" spans="1:9" s="23" customFormat="1" ht="11.25" customHeight="1" x14ac:dyDescent="0.2">
      <c r="B2" s="23" t="s">
        <v>129</v>
      </c>
      <c r="C2" s="135" t="s">
        <v>131</v>
      </c>
      <c r="D2" s="135"/>
      <c r="E2" s="25"/>
      <c r="F2" s="25"/>
      <c r="G2" s="25"/>
      <c r="I2" s="24"/>
    </row>
    <row r="3" spans="1:9" s="23" customFormat="1" ht="11.25" customHeight="1" x14ac:dyDescent="0.2">
      <c r="B3" s="23" t="s">
        <v>130</v>
      </c>
      <c r="C3" s="136" t="str">
        <f ca="1">MID(CELL("filename",A1),FIND("]",CELL("filename",A1))+1,255)</f>
        <v>Tankers</v>
      </c>
      <c r="D3" s="136"/>
      <c r="E3" s="25"/>
      <c r="F3" s="25"/>
      <c r="G3" s="25"/>
      <c r="H3" s="26"/>
      <c r="I3" s="27"/>
    </row>
    <row r="4" spans="1:9" s="23" customFormat="1" ht="11.25" customHeight="1" x14ac:dyDescent="0.2">
      <c r="B4" s="128"/>
      <c r="C4" s="130" t="s">
        <v>52</v>
      </c>
      <c r="D4" s="129"/>
      <c r="E4" s="25"/>
      <c r="F4" s="25"/>
      <c r="G4" s="25"/>
    </row>
    <row r="5" spans="1:9" s="23" customFormat="1" ht="11.25" customHeight="1" x14ac:dyDescent="0.2">
      <c r="A5" s="28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29"/>
      <c r="F5" s="29"/>
      <c r="G5" s="29"/>
      <c r="H5" s="28"/>
      <c r="I5" s="28"/>
    </row>
    <row r="6" spans="1:9" s="23" customFormat="1" ht="11.25" customHeight="1" x14ac:dyDescent="0.2">
      <c r="A6" s="30"/>
      <c r="B6" s="30"/>
      <c r="C6" s="31"/>
      <c r="D6" s="31"/>
      <c r="E6" s="31"/>
      <c r="F6" s="31"/>
      <c r="G6" s="31"/>
      <c r="H6" s="32"/>
      <c r="I6" s="28"/>
    </row>
    <row r="7" spans="1:9" s="23" customFormat="1" ht="11.25" customHeight="1" x14ac:dyDescent="0.25">
      <c r="A7" s="33"/>
      <c r="B7" s="33"/>
      <c r="C7" s="34"/>
      <c r="D7" s="34"/>
      <c r="E7" s="34"/>
      <c r="F7" s="34"/>
      <c r="G7" s="34"/>
      <c r="H7" s="34"/>
      <c r="I7" s="33"/>
    </row>
    <row r="8" spans="1:9" s="21" customFormat="1" x14ac:dyDescent="0.2">
      <c r="A8" s="5"/>
      <c r="B8" s="6"/>
      <c r="C8" s="6"/>
      <c r="D8" s="7" t="s">
        <v>21</v>
      </c>
      <c r="E8" s="7" t="s">
        <v>22</v>
      </c>
      <c r="F8" s="7" t="s">
        <v>23</v>
      </c>
      <c r="G8" s="45"/>
    </row>
    <row r="9" spans="1:9" s="21" customFormat="1" x14ac:dyDescent="0.2">
      <c r="A9" s="8" t="s">
        <v>0</v>
      </c>
      <c r="B9" s="9"/>
      <c r="C9" s="9"/>
      <c r="D9" s="36" t="s">
        <v>133</v>
      </c>
      <c r="E9" s="36" t="s">
        <v>134</v>
      </c>
      <c r="F9" s="36" t="s">
        <v>70</v>
      </c>
      <c r="G9" s="47"/>
    </row>
    <row r="10" spans="1:9" s="21" customFormat="1" ht="6" customHeight="1" x14ac:dyDescent="0.2">
      <c r="A10" s="8"/>
      <c r="B10" s="9"/>
      <c r="C10" s="9"/>
      <c r="D10" s="46"/>
      <c r="E10" s="46"/>
      <c r="F10" s="46"/>
      <c r="G10" s="47"/>
    </row>
    <row r="11" spans="1:9" s="21" customFormat="1" ht="14.25" x14ac:dyDescent="0.25">
      <c r="A11" s="8" t="s">
        <v>24</v>
      </c>
      <c r="B11" s="9" t="s">
        <v>34</v>
      </c>
      <c r="C11" s="9" t="s">
        <v>25</v>
      </c>
      <c r="D11" s="38">
        <v>239</v>
      </c>
      <c r="E11" s="38">
        <v>175.48</v>
      </c>
      <c r="F11" s="38">
        <v>127</v>
      </c>
      <c r="G11" s="47"/>
    </row>
    <row r="12" spans="1:9" s="21" customFormat="1" x14ac:dyDescent="0.2">
      <c r="A12" s="8" t="s">
        <v>32</v>
      </c>
      <c r="B12" s="9" t="s">
        <v>1</v>
      </c>
      <c r="C12" s="9" t="s">
        <v>4</v>
      </c>
      <c r="D12" s="39">
        <v>120000</v>
      </c>
      <c r="E12" s="39">
        <v>75000</v>
      </c>
      <c r="F12" s="39">
        <v>13000</v>
      </c>
      <c r="G12" s="47"/>
    </row>
    <row r="13" spans="1:9" s="21" customFormat="1" ht="15" x14ac:dyDescent="0.2">
      <c r="A13" s="56" t="s">
        <v>61</v>
      </c>
      <c r="B13" s="57" t="s">
        <v>57</v>
      </c>
      <c r="C13" s="57" t="s">
        <v>58</v>
      </c>
      <c r="D13" s="39">
        <v>0</v>
      </c>
      <c r="E13" s="39">
        <v>0</v>
      </c>
      <c r="F13" s="39">
        <v>14727.56</v>
      </c>
      <c r="G13" s="47"/>
      <c r="I13" s="61"/>
    </row>
    <row r="14" spans="1:9" s="21" customFormat="1" ht="14.25" x14ac:dyDescent="0.25">
      <c r="A14" s="8" t="s">
        <v>9</v>
      </c>
      <c r="B14" s="9" t="s">
        <v>35</v>
      </c>
      <c r="C14" s="9" t="s">
        <v>5</v>
      </c>
      <c r="D14" s="39">
        <v>15800</v>
      </c>
      <c r="E14" s="39">
        <v>15720</v>
      </c>
      <c r="F14" s="39">
        <v>4410</v>
      </c>
      <c r="G14" s="47"/>
    </row>
    <row r="15" spans="1:9" s="21" customFormat="1" ht="14.25" x14ac:dyDescent="0.25">
      <c r="A15" s="8" t="s">
        <v>26</v>
      </c>
      <c r="B15" s="9" t="s">
        <v>115</v>
      </c>
      <c r="C15" s="9" t="s">
        <v>5</v>
      </c>
      <c r="D15" s="39">
        <v>1200</v>
      </c>
      <c r="E15" s="39">
        <v>900</v>
      </c>
      <c r="F15" s="39">
        <v>1200</v>
      </c>
      <c r="G15" s="47"/>
    </row>
    <row r="16" spans="1:9" s="21" customFormat="1" ht="14.25" x14ac:dyDescent="0.25">
      <c r="A16" s="8" t="s">
        <v>8</v>
      </c>
      <c r="B16" s="9" t="s">
        <v>37</v>
      </c>
      <c r="C16" s="9" t="s">
        <v>5</v>
      </c>
      <c r="D16" s="11">
        <f>IF(D14&gt;=10000,(0.025*D14)+250,0.05*D14)</f>
        <v>645</v>
      </c>
      <c r="E16" s="11">
        <f>IF(E14&gt;=10000,(0.025*E14)+250,0.05*E14)</f>
        <v>643</v>
      </c>
      <c r="F16" s="11">
        <f>IF(F14&gt;=10000,(0.025*F14)+250,0.05*F14)</f>
        <v>220.5</v>
      </c>
      <c r="G16" s="49"/>
    </row>
    <row r="17" spans="1:7" s="21" customFormat="1" ht="14.25" x14ac:dyDescent="0.25">
      <c r="A17" s="8" t="s">
        <v>109</v>
      </c>
      <c r="B17" s="9" t="s">
        <v>108</v>
      </c>
      <c r="C17" s="9" t="s">
        <v>5</v>
      </c>
      <c r="D17" s="64">
        <f>IF(0.75^2*D15&lt;=D16,0.75^2*D15,D16)</f>
        <v>645</v>
      </c>
      <c r="E17" s="64">
        <f t="shared" ref="E17:F17" si="0">IF(0.75^2*E15&lt;=E16,0.75^2*E15,E16)</f>
        <v>506.25</v>
      </c>
      <c r="F17" s="64">
        <f t="shared" si="0"/>
        <v>220.5</v>
      </c>
      <c r="G17" s="47"/>
    </row>
    <row r="18" spans="1:7" s="21" customFormat="1" ht="14.25" x14ac:dyDescent="0.25">
      <c r="A18" s="8" t="s">
        <v>27</v>
      </c>
      <c r="B18" s="9" t="s">
        <v>36</v>
      </c>
      <c r="C18" s="9" t="s">
        <v>5</v>
      </c>
      <c r="D18" s="11">
        <f>0.75*D14-D17</f>
        <v>11205</v>
      </c>
      <c r="E18" s="11">
        <f>0.75*E14-E17</f>
        <v>11283.75</v>
      </c>
      <c r="F18" s="11">
        <f>0.75*F14-F17</f>
        <v>3087</v>
      </c>
      <c r="G18" s="49"/>
    </row>
    <row r="19" spans="1:7" s="21" customFormat="1" ht="14.25" x14ac:dyDescent="0.25">
      <c r="A19" s="12" t="s">
        <v>38</v>
      </c>
      <c r="B19" s="9" t="s">
        <v>39</v>
      </c>
      <c r="C19" s="9" t="s">
        <v>6</v>
      </c>
      <c r="D19" s="40">
        <v>14</v>
      </c>
      <c r="E19" s="40">
        <v>14.5</v>
      </c>
      <c r="F19" s="40">
        <v>12</v>
      </c>
      <c r="G19" s="47"/>
    </row>
    <row r="20" spans="1:7" s="21" customFormat="1" ht="6" customHeight="1" x14ac:dyDescent="0.2">
      <c r="A20" s="8"/>
      <c r="B20" s="9"/>
      <c r="C20" s="9"/>
      <c r="D20" s="46"/>
      <c r="E20" s="46"/>
      <c r="F20" s="46"/>
      <c r="G20" s="47"/>
    </row>
    <row r="21" spans="1:7" s="21" customFormat="1" x14ac:dyDescent="0.2">
      <c r="A21" s="8" t="s">
        <v>28</v>
      </c>
      <c r="B21" s="17" t="s">
        <v>29</v>
      </c>
      <c r="C21" s="18"/>
      <c r="D21" s="41" t="s">
        <v>20</v>
      </c>
      <c r="E21" s="41" t="s">
        <v>18</v>
      </c>
      <c r="F21" s="41" t="s">
        <v>19</v>
      </c>
      <c r="G21" s="47"/>
    </row>
    <row r="22" spans="1:7" s="21" customFormat="1" ht="14.25" x14ac:dyDescent="0.25">
      <c r="A22" s="137" t="s">
        <v>31</v>
      </c>
      <c r="B22" s="9" t="s">
        <v>40</v>
      </c>
      <c r="C22" s="9" t="s">
        <v>33</v>
      </c>
      <c r="D22" s="13">
        <f>IF(D11&gt;0,(0.00115*D11^(3.36))/D12,0.000000001)</f>
        <v>0.93957951911942228</v>
      </c>
      <c r="E22" s="13">
        <f>IF(E11&gt;0,(0.00115*E11^(3.36))/E12,0.000000001)</f>
        <v>0.53240410998258958</v>
      </c>
      <c r="F22" s="13">
        <f>IF(F11&gt;0,(0.00115*F11^(3.36))/F12,0.000000001)</f>
        <v>1.0364181037284084</v>
      </c>
      <c r="G22" s="47"/>
    </row>
    <row r="23" spans="1:7" s="21" customFormat="1" ht="14.25" x14ac:dyDescent="0.25">
      <c r="A23" s="137"/>
      <c r="B23" s="9" t="s">
        <v>55</v>
      </c>
      <c r="C23" s="9" t="s">
        <v>33</v>
      </c>
      <c r="D23" s="13">
        <f>IF(D21="1C",(1.31*(D11^(-0.05))),IF(D21="1B",(1.54*(D11^(-0.07))),IF(D21="1A",(1.8*(D11^(-0.09))),IF(D21="1AS",(2.1*(D11^(-0.11))),1))))</f>
        <v>1.1497291052990872</v>
      </c>
      <c r="E23" s="13">
        <f>IF(E21="1C",(1.31*(E11^(-0.05))),IF(E21="1B",(1.54*(E11^(-0.07))),IF(E21="1A",(1.8*(E11^(-0.09))),IF(E21="1AS",(2.1*(E11^(-0.11))),1))))</f>
        <v>1.0725678798843399</v>
      </c>
      <c r="F23" s="13">
        <f>IF(F21="1C",(1.31*(F11^(-0.05))),IF(F21="1B",(1.54*(F11^(-0.07))),IF(F21="1A",(1.8*(F11^(-0.09))),IF(F21="1AS",(2.1*(F11^(-0.11))),1))))</f>
        <v>1.1639388657781677</v>
      </c>
      <c r="G23" s="47"/>
    </row>
    <row r="24" spans="1:7" s="21" customFormat="1" ht="14.25" x14ac:dyDescent="0.25">
      <c r="A24" s="137"/>
      <c r="B24" s="9" t="s">
        <v>41</v>
      </c>
      <c r="C24" s="9" t="s">
        <v>33</v>
      </c>
      <c r="D24" s="19">
        <f>IF(MIN(D22:D23)&lt;1,1,MIN(D22:D23))</f>
        <v>1</v>
      </c>
      <c r="E24" s="19">
        <f>IF(MIN(E22:E23)&lt;1,1,MIN(E22:E23))</f>
        <v>1</v>
      </c>
      <c r="F24" s="19">
        <f>IF(MIN(F22:F23)&lt;1,1,MIN(F22:F23))</f>
        <v>1.0364181037284084</v>
      </c>
      <c r="G24" s="49"/>
    </row>
    <row r="25" spans="1:7" s="21" customFormat="1" ht="14.25" x14ac:dyDescent="0.25">
      <c r="A25" s="137" t="s">
        <v>30</v>
      </c>
      <c r="B25" s="9" t="s">
        <v>42</v>
      </c>
      <c r="C25" s="9" t="s">
        <v>33</v>
      </c>
      <c r="D25" s="13">
        <f>IF(D11&gt;0,(0.516*D11^(1.87))/D14,0.000000001)</f>
        <v>0.91537003062312317</v>
      </c>
      <c r="E25" s="13">
        <f>IF(E11&gt;0,(0.516*E11^(1.87))/E14,0.000000001)</f>
        <v>0.51630082623041318</v>
      </c>
      <c r="F25" s="13">
        <f>IF(F11&gt;0,(0.516*F11^(1.87))/F14,0.000000001)</f>
        <v>1.0053657138906695</v>
      </c>
      <c r="G25" s="49"/>
    </row>
    <row r="26" spans="1:7" s="21" customFormat="1" ht="14.25" x14ac:dyDescent="0.25">
      <c r="A26" s="137"/>
      <c r="B26" s="9" t="s">
        <v>56</v>
      </c>
      <c r="C26" s="9" t="s">
        <v>33</v>
      </c>
      <c r="D26" s="13">
        <f>IF(D21="1C",(0.72*(D11^(0.06))),IF(D21="1B",(0.61*(D11^(0.08))),IF(D21="1A",(0.5*(D11^(0.1))),IF(D21="1AS",(0.4*(D11^(0.12))),1))))</f>
        <v>0.77173418697170182</v>
      </c>
      <c r="E26" s="13">
        <f>IF(E21="1C",(0.72*(E11^(0.06))),IF(E21="1B",(0.61*(E11^(0.08))),IF(E21="1A",(0.5*(E11^(0.1))),IF(E21="1AS",(0.4*(E11^(0.12))),1))))</f>
        <v>0.92229115797951489</v>
      </c>
      <c r="F26" s="13">
        <f>IF(F21="1C",(0.72*(F11^(0.06))),IF(F21="1B",(0.61*(F11^(0.08))),IF(F21="1A",(0.5*(F11^(0.1))),IF(F21="1AS",(0.4*(F11^(0.12))),1))))</f>
        <v>0.81161558215244434</v>
      </c>
      <c r="G26" s="49"/>
    </row>
    <row r="27" spans="1:7" s="21" customFormat="1" ht="14.25" x14ac:dyDescent="0.25">
      <c r="A27" s="137"/>
      <c r="B27" s="9" t="s">
        <v>43</v>
      </c>
      <c r="C27" s="9" t="s">
        <v>33</v>
      </c>
      <c r="D27" s="19">
        <f>IF(MAX(D25:D26)&gt;1,1,MAX(D25:D26))</f>
        <v>0.91537003062312317</v>
      </c>
      <c r="E27" s="19">
        <f>IF(MAX(E25:E26)&gt;1,1,MAX(E25:E26))</f>
        <v>0.92229115797951489</v>
      </c>
      <c r="F27" s="19">
        <f>IF(MAX(F25:F26)&gt;1,1,MAX(F25:F26))</f>
        <v>1</v>
      </c>
      <c r="G27" s="49"/>
    </row>
    <row r="28" spans="1:7" s="21" customFormat="1" ht="14.25" x14ac:dyDescent="0.25">
      <c r="A28" s="58" t="s">
        <v>59</v>
      </c>
      <c r="B28" s="57" t="s">
        <v>60</v>
      </c>
      <c r="C28" s="57" t="s">
        <v>33</v>
      </c>
      <c r="D28" s="59">
        <f t="shared" ref="D28:E28" si="1">IF(D13=0,1,IF((D12/D13)&lt;0.98,((D12/D13)^(-0.7)-0.014),1))</f>
        <v>1</v>
      </c>
      <c r="E28" s="59">
        <f t="shared" si="1"/>
        <v>1</v>
      </c>
      <c r="F28" s="59">
        <f>IF(F13=0,1,IF((F12/F13)&lt;0.98,((F12/F13)^(-0.7)-0.014),1))</f>
        <v>1.0772674814159877</v>
      </c>
      <c r="G28" s="49"/>
    </row>
    <row r="29" spans="1:7" s="21" customFormat="1" ht="14.25" x14ac:dyDescent="0.25">
      <c r="A29" s="8" t="s">
        <v>2</v>
      </c>
      <c r="B29" s="9" t="s">
        <v>44</v>
      </c>
      <c r="C29" s="9" t="s">
        <v>7</v>
      </c>
      <c r="D29" s="132">
        <v>190</v>
      </c>
      <c r="E29" s="132">
        <v>190</v>
      </c>
      <c r="F29" s="132">
        <v>195</v>
      </c>
      <c r="G29" s="48"/>
    </row>
    <row r="30" spans="1:7" s="21" customFormat="1" ht="14.25" x14ac:dyDescent="0.25">
      <c r="A30" s="8" t="s">
        <v>3</v>
      </c>
      <c r="B30" s="9" t="s">
        <v>45</v>
      </c>
      <c r="C30" s="9" t="s">
        <v>7</v>
      </c>
      <c r="D30" s="132">
        <v>215</v>
      </c>
      <c r="E30" s="132">
        <v>215</v>
      </c>
      <c r="F30" s="132">
        <v>210</v>
      </c>
      <c r="G30" s="48"/>
    </row>
    <row r="31" spans="1:7" s="21" customFormat="1" ht="14.25" x14ac:dyDescent="0.25">
      <c r="A31" s="8" t="s">
        <v>46</v>
      </c>
      <c r="B31" s="9" t="s">
        <v>47</v>
      </c>
      <c r="C31" s="9" t="s">
        <v>48</v>
      </c>
      <c r="D31" s="133">
        <v>3.1139999999999999</v>
      </c>
      <c r="E31" s="133">
        <v>3.1139999999999999</v>
      </c>
      <c r="F31" s="133">
        <v>3.1139999999999999</v>
      </c>
      <c r="G31" s="48"/>
    </row>
    <row r="32" spans="1:7" s="21" customFormat="1" ht="14.25" x14ac:dyDescent="0.25">
      <c r="A32" s="8" t="s">
        <v>49</v>
      </c>
      <c r="B32" s="9" t="s">
        <v>50</v>
      </c>
      <c r="C32" s="9" t="s">
        <v>48</v>
      </c>
      <c r="D32" s="133">
        <v>3.1139999999999999</v>
      </c>
      <c r="E32" s="133">
        <v>3.1139999999999999</v>
      </c>
      <c r="F32" s="133">
        <v>3.1139999999999999</v>
      </c>
      <c r="G32" s="48"/>
    </row>
    <row r="33" spans="1:7" s="21" customFormat="1" ht="6" customHeight="1" x14ac:dyDescent="0.2">
      <c r="A33" s="8"/>
      <c r="B33" s="9"/>
      <c r="C33" s="9"/>
      <c r="D33" s="9"/>
      <c r="E33" s="9"/>
      <c r="F33" s="9"/>
      <c r="G33" s="49"/>
    </row>
    <row r="34" spans="1:7" s="1" customFormat="1" ht="14.25" x14ac:dyDescent="0.25">
      <c r="A34" s="120" t="s">
        <v>118</v>
      </c>
      <c r="B34" s="134" t="s">
        <v>120</v>
      </c>
      <c r="C34" s="126">
        <f>IF($B$34="Phase 3",0.3,IF($B$34="Phase 2",0.2,IF($B$34="Phase 1",0.1,0)))</f>
        <v>0</v>
      </c>
      <c r="D34" s="62">
        <f>IF(D12&lt;4000,0,IF(D12&lt;=20000,(a_T*D12^(-c_T))*(1-($C$34/16000*(D12-4000))),(a_T*D12^(-c_T))*(1-$C$34)))</f>
        <v>4.0484799937656435</v>
      </c>
      <c r="E34" s="62">
        <f>IF(E12&lt;4000,0,IF(E12&lt;=20000,(a_T*E12^(-c_T))*(1-($C$34/16000*(E12-4000))),(a_T*E12^(-c_T))*(1-$C$34)))</f>
        <v>5.092165955401061</v>
      </c>
      <c r="F34" s="62">
        <f>IF(F12&lt;4000,0,IF(F12&lt;=20000,(a_T*F12^(-c_T))*(1-($C$34/16000*(F12-4000))),(a_T*F12^(-c_T))*(1-$C$34)))</f>
        <v>11.976449556456284</v>
      </c>
      <c r="G34" s="10"/>
    </row>
    <row r="35" spans="1:7" s="1" customFormat="1" ht="14.25" x14ac:dyDescent="0.25">
      <c r="A35" s="8" t="s">
        <v>51</v>
      </c>
      <c r="B35" s="9"/>
      <c r="C35" s="9"/>
      <c r="D35" s="62">
        <f>IF(D12&lt;=0,0,(D27*((D18+D17)*D29*D31)+((D16-D17)*D30*D32))/(D24*D28*D12*D19))</f>
        <v>3.8201284601035432</v>
      </c>
      <c r="E35" s="62">
        <f t="shared" ref="E35:F35" si="2">IF(E12&lt;=0,0,(E27*((E18+E17)*E29*E31)+((E16-E17)*E30*E32))/(E24*E28*E12*E19))</f>
        <v>6.0001430305200767</v>
      </c>
      <c r="F35" s="62">
        <f t="shared" si="2"/>
        <v>11.53107862202237</v>
      </c>
      <c r="G35" s="10"/>
    </row>
    <row r="36" spans="1:7" s="1" customFormat="1" x14ac:dyDescent="0.2">
      <c r="A36" s="14" t="s">
        <v>119</v>
      </c>
      <c r="B36" s="122" t="str">
        <f>$B34</f>
        <v>Phase 0</v>
      </c>
      <c r="C36" s="15"/>
      <c r="D36" s="55">
        <f>(D34-D35)/D34</f>
        <v>5.6404263825866635E-2</v>
      </c>
      <c r="E36" s="55">
        <f>IF(E34=0,0,(E34-E35)/E34)</f>
        <v>-0.17830861819339569</v>
      </c>
      <c r="F36" s="55">
        <f>IF(F34=0,0,(F34-F35)/F34)</f>
        <v>3.7187225841386569E-2</v>
      </c>
      <c r="G36" s="16"/>
    </row>
    <row r="37" spans="1:7" s="43" customFormat="1" x14ac:dyDescent="0.2">
      <c r="A37" s="42"/>
    </row>
    <row r="38" spans="1:7" s="43" customFormat="1" x14ac:dyDescent="0.2">
      <c r="A38" s="42"/>
      <c r="C38" s="37"/>
      <c r="D38" s="37"/>
      <c r="E38" s="37"/>
      <c r="F38" s="37"/>
      <c r="G38" s="37"/>
    </row>
    <row r="39" spans="1:7" s="43" customFormat="1" x14ac:dyDescent="0.2">
      <c r="A39" s="42"/>
      <c r="C39" s="44"/>
      <c r="D39" s="44"/>
      <c r="E39" s="44"/>
      <c r="F39" s="44"/>
      <c r="G39" s="44"/>
    </row>
  </sheetData>
  <sheetProtection algorithmName="SHA-512" hashValue="2HkMNVpTiejLKqkJVVqHfFarfwa61yTL1vRdHPu1XfkNxxZqpVSTQn4tUq22rCutmf6N4PmVM7uOFYiuIQQUiw==" saltValue="1GiYptS4SU7y6k09O/IZmw==" spinCount="100000" sheet="1" selectLockedCells="1"/>
  <mergeCells count="4">
    <mergeCell ref="A22:A24"/>
    <mergeCell ref="A25:A27"/>
    <mergeCell ref="C2:D2"/>
    <mergeCell ref="C3:D3"/>
  </mergeCells>
  <conditionalFormatting sqref="D36:F36">
    <cfRule type="cellIs" dxfId="9" priority="1" operator="greaterThanOrEqual">
      <formula>0</formula>
    </cfRule>
    <cfRule type="cellIs" dxfId="8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Data!$A$1:$A$4</xm:f>
          </x14:formula1>
          <xm:sqref>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showGridLines="0" zoomScaleNormal="100" workbookViewId="0">
      <selection activeCell="D9" sqref="D9"/>
    </sheetView>
  </sheetViews>
  <sheetFormatPr defaultRowHeight="12.75" x14ac:dyDescent="0.2"/>
  <cols>
    <col min="1" max="1" width="32.28515625" style="35" customWidth="1"/>
    <col min="2" max="2" width="8.42578125" style="35" customWidth="1"/>
    <col min="3" max="3" width="12.7109375" style="35" customWidth="1"/>
    <col min="4" max="6" width="10.7109375" style="35" customWidth="1"/>
    <col min="7" max="7" width="1.28515625" style="35" customWidth="1"/>
    <col min="8" max="16384" width="9.140625" style="35"/>
  </cols>
  <sheetData>
    <row r="1" spans="1:9" s="23" customFormat="1" ht="11.25" customHeight="1" x14ac:dyDescent="0.2">
      <c r="A1" s="22"/>
      <c r="C1" s="24"/>
      <c r="D1" s="24"/>
      <c r="E1" s="24"/>
      <c r="F1" s="24"/>
      <c r="G1" s="24"/>
      <c r="H1" s="24"/>
    </row>
    <row r="2" spans="1:9" s="23" customFormat="1" ht="11.25" customHeight="1" x14ac:dyDescent="0.2">
      <c r="B2" s="23" t="s">
        <v>129</v>
      </c>
      <c r="C2" s="135" t="s">
        <v>131</v>
      </c>
      <c r="D2" s="135"/>
      <c r="E2" s="25"/>
      <c r="F2" s="25"/>
      <c r="G2" s="25"/>
      <c r="I2" s="24"/>
    </row>
    <row r="3" spans="1:9" s="23" customFormat="1" ht="11.25" customHeight="1" x14ac:dyDescent="0.2">
      <c r="B3" s="23" t="s">
        <v>130</v>
      </c>
      <c r="C3" s="136" t="str">
        <f ca="1">MID(CELL("filename",A1),FIND("]",CELL("filename",A1))+1,255)</f>
        <v>Refers</v>
      </c>
      <c r="D3" s="136"/>
      <c r="E3" s="25"/>
      <c r="F3" s="25"/>
      <c r="G3" s="25"/>
      <c r="H3" s="26"/>
      <c r="I3" s="27"/>
    </row>
    <row r="4" spans="1:9" s="23" customFormat="1" ht="11.25" customHeight="1" x14ac:dyDescent="0.2">
      <c r="B4" s="128"/>
      <c r="C4" s="130" t="s">
        <v>52</v>
      </c>
      <c r="D4" s="129"/>
      <c r="E4" s="25"/>
      <c r="F4" s="25"/>
      <c r="G4" s="25"/>
    </row>
    <row r="5" spans="1:9" s="23" customFormat="1" ht="11.25" customHeight="1" x14ac:dyDescent="0.2">
      <c r="A5" s="28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29"/>
      <c r="F5" s="29"/>
      <c r="G5" s="29"/>
      <c r="H5" s="28"/>
      <c r="I5" s="28"/>
    </row>
    <row r="6" spans="1:9" s="23" customFormat="1" ht="11.25" customHeight="1" x14ac:dyDescent="0.2">
      <c r="A6" s="30"/>
      <c r="B6" s="30"/>
      <c r="C6" s="31"/>
      <c r="D6" s="31"/>
      <c r="E6" s="31"/>
      <c r="F6" s="31"/>
      <c r="G6" s="31"/>
      <c r="H6" s="32"/>
      <c r="I6" s="28"/>
    </row>
    <row r="7" spans="1:9" s="23" customFormat="1" ht="11.25" customHeight="1" x14ac:dyDescent="0.25">
      <c r="A7" s="33"/>
      <c r="B7" s="33"/>
      <c r="C7" s="34"/>
      <c r="D7" s="34"/>
      <c r="E7" s="34"/>
      <c r="F7" s="34"/>
      <c r="G7" s="34"/>
      <c r="H7" s="34"/>
      <c r="I7" s="33"/>
    </row>
    <row r="8" spans="1:9" s="21" customFormat="1" x14ac:dyDescent="0.2">
      <c r="A8" s="5"/>
      <c r="B8" s="6"/>
      <c r="C8" s="6"/>
      <c r="D8" s="7" t="s">
        <v>21</v>
      </c>
      <c r="E8" s="7" t="s">
        <v>22</v>
      </c>
      <c r="F8" s="7" t="s">
        <v>23</v>
      </c>
      <c r="G8" s="45"/>
    </row>
    <row r="9" spans="1:9" s="21" customFormat="1" x14ac:dyDescent="0.2">
      <c r="A9" s="8" t="s">
        <v>0</v>
      </c>
      <c r="B9" s="9"/>
      <c r="C9" s="9"/>
      <c r="D9" s="36" t="s">
        <v>133</v>
      </c>
      <c r="E9" s="36" t="s">
        <v>134</v>
      </c>
      <c r="F9" s="36" t="s">
        <v>70</v>
      </c>
      <c r="G9" s="47"/>
    </row>
    <row r="10" spans="1:9" s="21" customFormat="1" ht="6" customHeight="1" x14ac:dyDescent="0.2">
      <c r="A10" s="8"/>
      <c r="B10" s="9"/>
      <c r="C10" s="9"/>
      <c r="D10" s="46"/>
      <c r="E10" s="46"/>
      <c r="F10" s="46"/>
      <c r="G10" s="47"/>
    </row>
    <row r="11" spans="1:9" s="21" customFormat="1" ht="14.25" x14ac:dyDescent="0.25">
      <c r="A11" s="8" t="s">
        <v>24</v>
      </c>
      <c r="B11" s="9" t="s">
        <v>34</v>
      </c>
      <c r="C11" s="9" t="s">
        <v>25</v>
      </c>
      <c r="D11" s="38">
        <v>139.4</v>
      </c>
      <c r="E11" s="38">
        <f>D11+28</f>
        <v>167.4</v>
      </c>
      <c r="F11" s="38">
        <v>0</v>
      </c>
      <c r="G11" s="47"/>
    </row>
    <row r="12" spans="1:9" s="21" customFormat="1" x14ac:dyDescent="0.2">
      <c r="A12" s="8" t="s">
        <v>32</v>
      </c>
      <c r="B12" s="9" t="s">
        <v>1</v>
      </c>
      <c r="C12" s="9" t="s">
        <v>4</v>
      </c>
      <c r="D12" s="39">
        <v>15000</v>
      </c>
      <c r="E12" s="39">
        <v>14452</v>
      </c>
      <c r="F12" s="39">
        <v>0</v>
      </c>
      <c r="G12" s="47"/>
    </row>
    <row r="13" spans="1:9" s="21" customFormat="1" x14ac:dyDescent="0.2">
      <c r="A13" s="8" t="s">
        <v>71</v>
      </c>
      <c r="B13" s="9" t="s">
        <v>72</v>
      </c>
      <c r="C13" s="9" t="s">
        <v>73</v>
      </c>
      <c r="D13" s="39">
        <v>10519</v>
      </c>
      <c r="E13" s="39">
        <v>14109</v>
      </c>
      <c r="F13" s="39">
        <v>0</v>
      </c>
      <c r="G13" s="47"/>
    </row>
    <row r="14" spans="1:9" s="21" customFormat="1" ht="14.25" x14ac:dyDescent="0.25">
      <c r="A14" s="8" t="s">
        <v>9</v>
      </c>
      <c r="B14" s="9" t="s">
        <v>35</v>
      </c>
      <c r="C14" s="9" t="s">
        <v>5</v>
      </c>
      <c r="D14" s="39">
        <v>11915</v>
      </c>
      <c r="E14" s="39">
        <v>11915</v>
      </c>
      <c r="F14" s="39">
        <v>0</v>
      </c>
      <c r="G14" s="47"/>
    </row>
    <row r="15" spans="1:9" s="21" customFormat="1" ht="14.25" x14ac:dyDescent="0.25">
      <c r="A15" s="8" t="s">
        <v>26</v>
      </c>
      <c r="B15" s="9" t="s">
        <v>115</v>
      </c>
      <c r="C15" s="9" t="s">
        <v>5</v>
      </c>
      <c r="D15" s="39">
        <v>1200</v>
      </c>
      <c r="E15" s="39">
        <v>1200</v>
      </c>
      <c r="F15" s="39">
        <v>0</v>
      </c>
      <c r="G15" s="47"/>
    </row>
    <row r="16" spans="1:9" s="21" customFormat="1" ht="14.25" x14ac:dyDescent="0.25">
      <c r="A16" s="8" t="s">
        <v>8</v>
      </c>
      <c r="B16" s="9" t="s">
        <v>37</v>
      </c>
      <c r="C16" s="9" t="s">
        <v>5</v>
      </c>
      <c r="D16" s="11">
        <f>IF(D14&gt;=10000,(0.025*D14)+250,0.05*D14)</f>
        <v>547.875</v>
      </c>
      <c r="E16" s="11">
        <f t="shared" ref="E16:F16" si="0">IF(E14&gt;=10000,(0.025*E14)+250,0.05*E14)</f>
        <v>547.875</v>
      </c>
      <c r="F16" s="11">
        <f t="shared" si="0"/>
        <v>0</v>
      </c>
      <c r="G16" s="49"/>
    </row>
    <row r="17" spans="1:7" s="21" customFormat="1" ht="14.25" x14ac:dyDescent="0.25">
      <c r="A17" s="8" t="s">
        <v>109</v>
      </c>
      <c r="B17" s="9" t="s">
        <v>108</v>
      </c>
      <c r="C17" s="9" t="s">
        <v>5</v>
      </c>
      <c r="D17" s="64">
        <f>IF(0.75^2*D15&lt;=D16,0.75^2*D15,D16)</f>
        <v>547.875</v>
      </c>
      <c r="E17" s="64">
        <f t="shared" ref="E17:F17" si="1">IF(0.75^2*E15&lt;=E16,0.75^2*E15,E16)</f>
        <v>547.875</v>
      </c>
      <c r="F17" s="64">
        <f t="shared" si="1"/>
        <v>0</v>
      </c>
      <c r="G17" s="47"/>
    </row>
    <row r="18" spans="1:7" s="21" customFormat="1" ht="14.25" x14ac:dyDescent="0.25">
      <c r="A18" s="8" t="s">
        <v>27</v>
      </c>
      <c r="B18" s="9" t="s">
        <v>36</v>
      </c>
      <c r="C18" s="9" t="s">
        <v>5</v>
      </c>
      <c r="D18" s="11">
        <f>0.75*D14-D17</f>
        <v>8388.375</v>
      </c>
      <c r="E18" s="11">
        <f>0.75*E14-E17</f>
        <v>8388.375</v>
      </c>
      <c r="F18" s="11">
        <f>0.75*F14-F17</f>
        <v>0</v>
      </c>
      <c r="G18" s="49"/>
    </row>
    <row r="19" spans="1:7" s="21" customFormat="1" ht="14.25" x14ac:dyDescent="0.25">
      <c r="A19" s="12" t="s">
        <v>38</v>
      </c>
      <c r="B19" s="9" t="s">
        <v>39</v>
      </c>
      <c r="C19" s="9" t="s">
        <v>6</v>
      </c>
      <c r="D19" s="40">
        <v>20</v>
      </c>
      <c r="E19" s="40">
        <v>19</v>
      </c>
      <c r="F19" s="40">
        <v>0</v>
      </c>
      <c r="G19" s="47"/>
    </row>
    <row r="20" spans="1:7" s="21" customFormat="1" ht="6" customHeight="1" x14ac:dyDescent="0.2">
      <c r="A20" s="8"/>
      <c r="B20" s="9"/>
      <c r="C20" s="9"/>
      <c r="D20" s="46"/>
      <c r="E20" s="46"/>
      <c r="F20" s="46"/>
      <c r="G20" s="47"/>
    </row>
    <row r="21" spans="1:7" s="21" customFormat="1" ht="14.25" x14ac:dyDescent="0.25">
      <c r="A21" s="8" t="s">
        <v>2</v>
      </c>
      <c r="B21" s="9" t="s">
        <v>44</v>
      </c>
      <c r="C21" s="9" t="s">
        <v>7</v>
      </c>
      <c r="D21" s="132">
        <v>167</v>
      </c>
      <c r="E21" s="132">
        <v>167</v>
      </c>
      <c r="F21" s="132">
        <v>190</v>
      </c>
      <c r="G21" s="48"/>
    </row>
    <row r="22" spans="1:7" s="21" customFormat="1" ht="14.25" x14ac:dyDescent="0.25">
      <c r="A22" s="8" t="s">
        <v>3</v>
      </c>
      <c r="B22" s="9" t="s">
        <v>45</v>
      </c>
      <c r="C22" s="9" t="s">
        <v>7</v>
      </c>
      <c r="D22" s="132">
        <v>215</v>
      </c>
      <c r="E22" s="132">
        <v>215</v>
      </c>
      <c r="F22" s="132">
        <v>215</v>
      </c>
      <c r="G22" s="48"/>
    </row>
    <row r="23" spans="1:7" s="21" customFormat="1" ht="14.25" x14ac:dyDescent="0.25">
      <c r="A23" s="8" t="s">
        <v>46</v>
      </c>
      <c r="B23" s="9" t="s">
        <v>47</v>
      </c>
      <c r="C23" s="9" t="s">
        <v>48</v>
      </c>
      <c r="D23" s="133">
        <v>3.1139999999999999</v>
      </c>
      <c r="E23" s="133">
        <v>3.1139999999999999</v>
      </c>
      <c r="F23" s="133">
        <v>3.1139999999999999</v>
      </c>
      <c r="G23" s="48"/>
    </row>
    <row r="24" spans="1:7" s="21" customFormat="1" ht="14.25" x14ac:dyDescent="0.25">
      <c r="A24" s="8" t="s">
        <v>49</v>
      </c>
      <c r="B24" s="9" t="s">
        <v>50</v>
      </c>
      <c r="C24" s="9" t="s">
        <v>48</v>
      </c>
      <c r="D24" s="133">
        <v>3.1139999999999999</v>
      </c>
      <c r="E24" s="133">
        <v>3.1139999999999999</v>
      </c>
      <c r="F24" s="133">
        <v>3.1139999999999999</v>
      </c>
      <c r="G24" s="48"/>
    </row>
    <row r="25" spans="1:7" s="21" customFormat="1" ht="6" customHeight="1" x14ac:dyDescent="0.2">
      <c r="A25" s="8"/>
      <c r="B25" s="9"/>
      <c r="C25" s="9"/>
      <c r="D25" s="9"/>
      <c r="E25" s="9"/>
      <c r="F25" s="9"/>
      <c r="G25" s="49"/>
    </row>
    <row r="26" spans="1:7" s="1" customFormat="1" ht="14.25" x14ac:dyDescent="0.25">
      <c r="A26" s="120" t="s">
        <v>118</v>
      </c>
      <c r="B26" s="134" t="s">
        <v>120</v>
      </c>
      <c r="C26" s="126">
        <f>IF($B$26="Phase 3",0.3,IF($B$26="Phase 2",0.15,IF($B$26="Phase 1",0.1,0)))</f>
        <v>0</v>
      </c>
      <c r="D26" s="62">
        <f>IF(D12&lt;3000,0,IF(D12&lt;=5000,(a_RFS*D12^(-c_RFS))*(1-($C$26/2000*(D12-3000))),(a_RFS*D12^(-c_RFS))*(1-$C$26)))</f>
        <v>21.730950446778092</v>
      </c>
      <c r="E26" s="62">
        <f>IF(E12&lt;3000,0,IF(E12&lt;=5000,(a_RFS*E12^(-c_RFS))*(1-($C$26/2000*(E12-3000))),(a_RFS*E12^(-c_RFS))*(1-$C$26)))</f>
        <v>21.92918887762286</v>
      </c>
      <c r="F26" s="62">
        <f>IF(F12&lt;3000,0,IF(F12&lt;=5000,(a_RFS*F12^(-c_RFS))*(1-($C$26/2000*(F12-3000))),(a_RFS*F12^(-c_RFS))*(1-$C$26)))</f>
        <v>0</v>
      </c>
      <c r="G26" s="10"/>
    </row>
    <row r="27" spans="1:7" s="1" customFormat="1" ht="14.25" x14ac:dyDescent="0.25">
      <c r="A27" s="8" t="s">
        <v>51</v>
      </c>
      <c r="B27" s="9"/>
      <c r="C27" s="9"/>
      <c r="D27" s="62">
        <f>IF(D12&lt;=0,0,(((D18+D17)*D21*D23)+((D16-D17)*D22*D24))/(D12*D19))</f>
        <v>15.490631924999999</v>
      </c>
      <c r="E27" s="62">
        <f t="shared" ref="E27:F27" si="2">IF(E12&lt;=0,0,(((E18+E17)*E21*E23)+((E16-E17)*E22*E24))/(E12*E19))</f>
        <v>16.924226759727301</v>
      </c>
      <c r="F27" s="62">
        <f t="shared" si="2"/>
        <v>0</v>
      </c>
      <c r="G27" s="10"/>
    </row>
    <row r="28" spans="1:7" s="1" customFormat="1" x14ac:dyDescent="0.2">
      <c r="A28" s="14" t="s">
        <v>119</v>
      </c>
      <c r="B28" s="122" t="str">
        <f>$B26</f>
        <v>Phase 0</v>
      </c>
      <c r="C28" s="15"/>
      <c r="D28" s="55">
        <f>(D26-D27)/D26</f>
        <v>0.28716270542613587</v>
      </c>
      <c r="E28" s="55">
        <f>IF(E26=0,0,(E26-E27)/E26)</f>
        <v>0.22823288840394632</v>
      </c>
      <c r="F28" s="55">
        <f>IF(F26=0,0,(F26-F27)/F26)</f>
        <v>0</v>
      </c>
      <c r="G28" s="16"/>
    </row>
    <row r="29" spans="1:7" s="43" customFormat="1" x14ac:dyDescent="0.2">
      <c r="A29" s="42"/>
    </row>
    <row r="30" spans="1:7" s="43" customFormat="1" x14ac:dyDescent="0.2">
      <c r="A30" s="42"/>
      <c r="C30" s="37"/>
      <c r="D30" s="37"/>
      <c r="E30" s="37"/>
      <c r="F30" s="37"/>
      <c r="G30" s="37"/>
    </row>
    <row r="31" spans="1:7" s="43" customFormat="1" x14ac:dyDescent="0.2">
      <c r="A31" s="42"/>
      <c r="C31" s="44"/>
      <c r="D31" s="44"/>
      <c r="E31" s="44"/>
      <c r="F31" s="44"/>
      <c r="G31" s="44"/>
    </row>
  </sheetData>
  <sheetProtection algorithmName="SHA-512" hashValue="njG8LRrj6zz/jCGfddGyAQMVR/a/Ojwk3beEgcNmG14S4QgHqIPmMWJ1WUZPqVpBU78fQKy2W9znegZZXIbIDw==" saltValue="iNLj90hxcB2R96ca9WqEbw==" spinCount="100000" sheet="1" selectLockedCells="1"/>
  <mergeCells count="2">
    <mergeCell ref="C2:D2"/>
    <mergeCell ref="C3:D3"/>
  </mergeCells>
  <conditionalFormatting sqref="D28:F28">
    <cfRule type="cellIs" dxfId="7" priority="1" operator="greaterThanOrEqual">
      <formula>0</formula>
    </cfRule>
    <cfRule type="cellIs" dxfId="6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23553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2355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Data!$A$1:$A$4</xm:f>
          </x14:formula1>
          <xm:sqref>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4"/>
  <sheetViews>
    <sheetView showGridLines="0" topLeftCell="A16" zoomScaleNormal="100" workbookViewId="0">
      <selection activeCell="D9" sqref="D9"/>
    </sheetView>
  </sheetViews>
  <sheetFormatPr defaultRowHeight="12.75" x14ac:dyDescent="0.2"/>
  <cols>
    <col min="1" max="1" width="32.28515625" style="35" customWidth="1"/>
    <col min="2" max="2" width="8.42578125" style="35" customWidth="1"/>
    <col min="3" max="3" width="12.7109375" style="35" customWidth="1"/>
    <col min="4" max="6" width="10.7109375" style="35" customWidth="1"/>
    <col min="7" max="7" width="1.28515625" style="35" customWidth="1"/>
    <col min="8" max="16384" width="9.140625" style="35"/>
  </cols>
  <sheetData>
    <row r="1" spans="1:9" s="23" customFormat="1" ht="11.25" customHeight="1" x14ac:dyDescent="0.2">
      <c r="A1" s="22"/>
      <c r="C1" s="24"/>
      <c r="D1" s="24"/>
      <c r="E1" s="24"/>
      <c r="F1" s="24"/>
      <c r="G1" s="24"/>
      <c r="H1" s="24"/>
    </row>
    <row r="2" spans="1:9" s="23" customFormat="1" ht="11.25" customHeight="1" x14ac:dyDescent="0.2">
      <c r="B2" s="23" t="s">
        <v>129</v>
      </c>
      <c r="C2" s="135" t="s">
        <v>131</v>
      </c>
      <c r="D2" s="135"/>
      <c r="E2" s="25"/>
      <c r="F2" s="25"/>
      <c r="G2" s="25"/>
      <c r="I2" s="24"/>
    </row>
    <row r="3" spans="1:9" s="23" customFormat="1" ht="11.25" customHeight="1" x14ac:dyDescent="0.2">
      <c r="B3" s="23" t="s">
        <v>130</v>
      </c>
      <c r="C3" s="136" t="str">
        <f ca="1">MID(CELL("filename",A1),FIND("]",CELL("filename",A1))+1,255)</f>
        <v>RoRo Cargo</v>
      </c>
      <c r="D3" s="136"/>
      <c r="E3" s="25"/>
      <c r="F3" s="25"/>
      <c r="G3" s="25"/>
      <c r="H3" s="26"/>
      <c r="I3" s="27"/>
    </row>
    <row r="4" spans="1:9" s="23" customFormat="1" ht="11.25" customHeight="1" x14ac:dyDescent="0.2">
      <c r="B4" s="128"/>
      <c r="C4" s="130" t="s">
        <v>52</v>
      </c>
      <c r="D4" s="129"/>
      <c r="E4" s="25"/>
      <c r="F4" s="25"/>
      <c r="G4" s="25"/>
    </row>
    <row r="5" spans="1:9" s="23" customFormat="1" ht="11.25" customHeight="1" x14ac:dyDescent="0.2">
      <c r="A5" s="28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29"/>
      <c r="F5" s="29"/>
      <c r="G5" s="29"/>
      <c r="H5" s="28"/>
      <c r="I5" s="28"/>
    </row>
    <row r="6" spans="1:9" s="23" customFormat="1" ht="11.25" customHeight="1" x14ac:dyDescent="0.2">
      <c r="A6" s="30"/>
      <c r="B6" s="30"/>
      <c r="C6" s="31"/>
      <c r="D6" s="31"/>
      <c r="E6" s="31"/>
      <c r="F6" s="31"/>
      <c r="G6" s="31"/>
      <c r="H6" s="32"/>
      <c r="I6" s="28"/>
    </row>
    <row r="7" spans="1:9" s="23" customFormat="1" ht="11.25" customHeight="1" x14ac:dyDescent="0.25">
      <c r="A7" s="33"/>
      <c r="B7" s="33"/>
      <c r="C7" s="34"/>
      <c r="D7" s="34"/>
      <c r="E7" s="34"/>
      <c r="F7" s="34"/>
      <c r="G7" s="34"/>
      <c r="H7" s="34"/>
      <c r="I7" s="33"/>
    </row>
    <row r="8" spans="1:9" s="21" customFormat="1" x14ac:dyDescent="0.2">
      <c r="A8" s="5"/>
      <c r="B8" s="6"/>
      <c r="C8" s="6"/>
      <c r="D8" s="7" t="s">
        <v>21</v>
      </c>
      <c r="E8" s="7" t="s">
        <v>22</v>
      </c>
      <c r="F8" s="7" t="s">
        <v>23</v>
      </c>
      <c r="G8" s="45"/>
    </row>
    <row r="9" spans="1:9" s="21" customFormat="1" x14ac:dyDescent="0.2">
      <c r="A9" s="8" t="s">
        <v>0</v>
      </c>
      <c r="B9" s="9"/>
      <c r="C9" s="9"/>
      <c r="D9" s="36" t="s">
        <v>53</v>
      </c>
      <c r="E9" s="36" t="s">
        <v>54</v>
      </c>
      <c r="F9" s="36" t="s">
        <v>70</v>
      </c>
      <c r="G9" s="47"/>
    </row>
    <row r="10" spans="1:9" s="21" customFormat="1" ht="6" customHeight="1" x14ac:dyDescent="0.2">
      <c r="A10" s="8"/>
      <c r="B10" s="9"/>
      <c r="C10" s="9"/>
      <c r="D10" s="46"/>
      <c r="E10" s="46"/>
      <c r="F10" s="46"/>
      <c r="G10" s="47"/>
    </row>
    <row r="11" spans="1:9" s="21" customFormat="1" ht="14.25" x14ac:dyDescent="0.25">
      <c r="A11" s="8" t="s">
        <v>24</v>
      </c>
      <c r="B11" s="9" t="s">
        <v>34</v>
      </c>
      <c r="C11" s="9" t="s">
        <v>25</v>
      </c>
      <c r="D11" s="38">
        <v>139.12</v>
      </c>
      <c r="E11" s="38">
        <v>179.2</v>
      </c>
      <c r="F11" s="38">
        <v>148.77000000000001</v>
      </c>
      <c r="G11" s="47"/>
    </row>
    <row r="12" spans="1:9" s="21" customFormat="1" ht="14.25" x14ac:dyDescent="0.25">
      <c r="A12" s="8" t="s">
        <v>63</v>
      </c>
      <c r="B12" s="9" t="s">
        <v>65</v>
      </c>
      <c r="C12" s="9" t="s">
        <v>25</v>
      </c>
      <c r="D12" s="38">
        <v>22</v>
      </c>
      <c r="E12" s="38">
        <v>25.6</v>
      </c>
      <c r="F12" s="38">
        <v>20.6</v>
      </c>
      <c r="G12" s="47"/>
    </row>
    <row r="13" spans="1:9" s="21" customFormat="1" ht="14.25" x14ac:dyDescent="0.25">
      <c r="A13" s="8" t="s">
        <v>64</v>
      </c>
      <c r="B13" s="9" t="s">
        <v>66</v>
      </c>
      <c r="C13" s="9" t="s">
        <v>25</v>
      </c>
      <c r="D13" s="38">
        <v>5.7</v>
      </c>
      <c r="E13" s="38">
        <v>7.3</v>
      </c>
      <c r="F13" s="38">
        <v>6.7</v>
      </c>
      <c r="G13" s="47"/>
    </row>
    <row r="14" spans="1:9" s="21" customFormat="1" ht="14.25" x14ac:dyDescent="0.25">
      <c r="A14" s="8" t="s">
        <v>67</v>
      </c>
      <c r="B14" s="9" t="s">
        <v>68</v>
      </c>
      <c r="C14" s="9" t="s">
        <v>4</v>
      </c>
      <c r="D14" s="39">
        <v>10250</v>
      </c>
      <c r="E14" s="39">
        <v>19586</v>
      </c>
      <c r="F14" s="39">
        <v>12100</v>
      </c>
      <c r="G14" s="47"/>
    </row>
    <row r="15" spans="1:9" s="21" customFormat="1" x14ac:dyDescent="0.2">
      <c r="A15" s="8" t="s">
        <v>32</v>
      </c>
      <c r="B15" s="9" t="s">
        <v>1</v>
      </c>
      <c r="C15" s="9" t="s">
        <v>4</v>
      </c>
      <c r="D15" s="39">
        <v>5000</v>
      </c>
      <c r="E15" s="39">
        <v>12000</v>
      </c>
      <c r="F15" s="39">
        <v>8750</v>
      </c>
      <c r="G15" s="47"/>
    </row>
    <row r="16" spans="1:9" s="21" customFormat="1" ht="14.25" x14ac:dyDescent="0.25">
      <c r="A16" s="8" t="s">
        <v>9</v>
      </c>
      <c r="B16" s="9" t="s">
        <v>35</v>
      </c>
      <c r="C16" s="9" t="s">
        <v>5</v>
      </c>
      <c r="D16" s="39">
        <v>19200</v>
      </c>
      <c r="E16" s="39">
        <v>24000</v>
      </c>
      <c r="F16" s="39">
        <v>12600</v>
      </c>
      <c r="G16" s="47"/>
    </row>
    <row r="17" spans="1:7" s="21" customFormat="1" ht="14.25" x14ac:dyDescent="0.25">
      <c r="A17" s="8" t="s">
        <v>26</v>
      </c>
      <c r="B17" s="9" t="s">
        <v>115</v>
      </c>
      <c r="C17" s="9" t="s">
        <v>5</v>
      </c>
      <c r="D17" s="39">
        <v>1200</v>
      </c>
      <c r="E17" s="39">
        <v>750</v>
      </c>
      <c r="F17" s="39">
        <v>0</v>
      </c>
      <c r="G17" s="47"/>
    </row>
    <row r="18" spans="1:7" s="21" customFormat="1" ht="14.25" x14ac:dyDescent="0.25">
      <c r="A18" s="8" t="s">
        <v>8</v>
      </c>
      <c r="B18" s="9" t="s">
        <v>37</v>
      </c>
      <c r="C18" s="9" t="s">
        <v>5</v>
      </c>
      <c r="D18" s="11">
        <f>IF(D16&gt;=10000,(0.025*D16)+250,0.05*D16)</f>
        <v>730</v>
      </c>
      <c r="E18" s="11">
        <f t="shared" ref="E18:F18" si="0">IF(E16&gt;=10000,(0.025*E16)+250,0.05*E16)</f>
        <v>850</v>
      </c>
      <c r="F18" s="11">
        <f t="shared" si="0"/>
        <v>565</v>
      </c>
      <c r="G18" s="49"/>
    </row>
    <row r="19" spans="1:7" s="21" customFormat="1" ht="14.25" x14ac:dyDescent="0.25">
      <c r="A19" s="8" t="s">
        <v>109</v>
      </c>
      <c r="B19" s="9" t="s">
        <v>108</v>
      </c>
      <c r="C19" s="9" t="s">
        <v>5</v>
      </c>
      <c r="D19" s="64">
        <f>IF(0.75^2*D17&lt;=D18,0.75^2*D17,D18)</f>
        <v>675</v>
      </c>
      <c r="E19" s="64">
        <f t="shared" ref="E19:F19" si="1">IF(0.75^2*E17&lt;=E18,0.75^2*E17,E18)</f>
        <v>421.875</v>
      </c>
      <c r="F19" s="64">
        <f t="shared" si="1"/>
        <v>0</v>
      </c>
      <c r="G19" s="47"/>
    </row>
    <row r="20" spans="1:7" s="21" customFormat="1" ht="14.25" x14ac:dyDescent="0.25">
      <c r="A20" s="8" t="s">
        <v>27</v>
      </c>
      <c r="B20" s="9" t="s">
        <v>36</v>
      </c>
      <c r="C20" s="9" t="s">
        <v>5</v>
      </c>
      <c r="D20" s="11">
        <f>0.75*D16-D19</f>
        <v>13725</v>
      </c>
      <c r="E20" s="11">
        <f t="shared" ref="E20:F20" si="2">0.75*E16-E19</f>
        <v>17578.125</v>
      </c>
      <c r="F20" s="11">
        <f t="shared" si="2"/>
        <v>9450</v>
      </c>
      <c r="G20" s="49"/>
    </row>
    <row r="21" spans="1:7" s="21" customFormat="1" ht="14.25" x14ac:dyDescent="0.25">
      <c r="A21" s="12" t="s">
        <v>38</v>
      </c>
      <c r="B21" s="9" t="s">
        <v>39</v>
      </c>
      <c r="C21" s="9" t="s">
        <v>6</v>
      </c>
      <c r="D21" s="40">
        <v>21.8</v>
      </c>
      <c r="E21" s="40">
        <v>22.5</v>
      </c>
      <c r="F21" s="40">
        <v>20</v>
      </c>
      <c r="G21" s="47"/>
    </row>
    <row r="22" spans="1:7" s="21" customFormat="1" ht="6" customHeight="1" x14ac:dyDescent="0.2">
      <c r="A22" s="8"/>
      <c r="B22" s="9"/>
      <c r="C22" s="9"/>
      <c r="D22" s="46"/>
      <c r="E22" s="46"/>
      <c r="F22" s="46"/>
      <c r="G22" s="47"/>
    </row>
    <row r="23" spans="1:7" s="21" customFormat="1" ht="14.25" x14ac:dyDescent="0.25">
      <c r="A23" s="60" t="s">
        <v>30</v>
      </c>
      <c r="B23" s="9" t="s">
        <v>69</v>
      </c>
      <c r="C23" s="9" t="s">
        <v>33</v>
      </c>
      <c r="D23" s="63">
        <f>1/(((0.51444*D21/SQRT(D11*9.81))^2)*((D11/D12)^0.5)*((D12/D13)^0.75)*(D11/((D14/1.025)^(1/3))))</f>
        <v>0.24267530349748365</v>
      </c>
      <c r="E23" s="63">
        <f>1/(((0.51444*E21/SQRT(E11*9.81))^2)*((E11/E12)^0.5)*((E12/E13)^0.75)*(E11/((E14/1.025)^(1/3))))</f>
        <v>0.28871651358559192</v>
      </c>
      <c r="F23" s="63">
        <f>1/((0.51444*F21/SQRT(F11*9.81))^2*((F11/F12)^0.5)*((F12/F13)^0.75)*(F11/((F14/1.025)^(1/3))))</f>
        <v>0.33816215880582784</v>
      </c>
      <c r="G23" s="49"/>
    </row>
    <row r="24" spans="1:7" s="21" customFormat="1" ht="14.25" x14ac:dyDescent="0.25">
      <c r="A24" s="8" t="s">
        <v>2</v>
      </c>
      <c r="B24" s="9" t="s">
        <v>44</v>
      </c>
      <c r="C24" s="9" t="s">
        <v>7</v>
      </c>
      <c r="D24" s="132">
        <v>190</v>
      </c>
      <c r="E24" s="132">
        <v>190</v>
      </c>
      <c r="F24" s="132">
        <v>190</v>
      </c>
      <c r="G24" s="48"/>
    </row>
    <row r="25" spans="1:7" s="21" customFormat="1" ht="14.25" x14ac:dyDescent="0.25">
      <c r="A25" s="8" t="s">
        <v>3</v>
      </c>
      <c r="B25" s="9" t="s">
        <v>45</v>
      </c>
      <c r="C25" s="9" t="s">
        <v>7</v>
      </c>
      <c r="D25" s="132">
        <v>215</v>
      </c>
      <c r="E25" s="132">
        <v>215</v>
      </c>
      <c r="F25" s="132">
        <v>215</v>
      </c>
      <c r="G25" s="48"/>
    </row>
    <row r="26" spans="1:7" s="21" customFormat="1" ht="14.25" x14ac:dyDescent="0.25">
      <c r="A26" s="8" t="s">
        <v>46</v>
      </c>
      <c r="B26" s="9" t="s">
        <v>47</v>
      </c>
      <c r="C26" s="9" t="s">
        <v>48</v>
      </c>
      <c r="D26" s="133">
        <v>3.1139999999999999</v>
      </c>
      <c r="E26" s="133">
        <v>3.1139999999999999</v>
      </c>
      <c r="F26" s="133">
        <v>3.1139999999999999</v>
      </c>
      <c r="G26" s="48"/>
    </row>
    <row r="27" spans="1:7" s="21" customFormat="1" ht="14.25" x14ac:dyDescent="0.25">
      <c r="A27" s="8" t="s">
        <v>49</v>
      </c>
      <c r="B27" s="9" t="s">
        <v>50</v>
      </c>
      <c r="C27" s="9" t="s">
        <v>48</v>
      </c>
      <c r="D27" s="133">
        <v>3.1139999999999999</v>
      </c>
      <c r="E27" s="133">
        <v>3.1139999999999999</v>
      </c>
      <c r="F27" s="133">
        <v>3.1139999999999999</v>
      </c>
      <c r="G27" s="48"/>
    </row>
    <row r="28" spans="1:7" s="21" customFormat="1" ht="6" customHeight="1" x14ac:dyDescent="0.2">
      <c r="A28" s="8"/>
      <c r="B28" s="9"/>
      <c r="C28" s="9"/>
      <c r="D28" s="9"/>
      <c r="E28" s="9"/>
      <c r="F28" s="9"/>
      <c r="G28" s="49"/>
    </row>
    <row r="29" spans="1:7" s="1" customFormat="1" ht="14.25" x14ac:dyDescent="0.25">
      <c r="A29" s="120" t="s">
        <v>128</v>
      </c>
      <c r="B29" s="134" t="s">
        <v>120</v>
      </c>
      <c r="C29" s="126">
        <f>IF(OR($B$29="Phase 3",$B$29="Phase 3*"),0.3,IF(OR($B$29="Phase 2",$B$29="Phase 2*"),0.2,IF(OR($B$29="Phase 1",$B$29="Phase 1*"),0.05,0)))</f>
        <v>0</v>
      </c>
      <c r="D29" s="111">
        <f>IF(OR($B$29="Phase 3*",$B$29="Phase 2*",$B$29="Phase 1*",$B$29="Phase 0*"),IF(D15&gt;=17000,a_RRC2*17000^(-c_RRC)*(1-$C$29),IF(D15&lt;1000,0,IF(D15&lt;=2000,(a_RRC2*D15^(-c_RRC))*(1-($C$29/1000*(D15-1000))),(a_RRC2*D15^(-c_RRC))*(1-$C$29)))),IF(D15&lt;1000,0,IF(D15&lt;=2000,(a_RRC*D15^(-c_RRC))*(1-($C$29/1000*(D15-1000))),(a_RRC*D15^(-c_RRC))*(1-$C$29))))</f>
        <v>20.213225710632759</v>
      </c>
      <c r="E29" s="111">
        <f>IF(OR($B$29="Phase 3*",$B$29="Phase 2*",$B$29="Phase 1*",$B$29="Phase 0*"),IF(E15&gt;=17000,a_RRC2*17000^(-c_RRC)*(1-$C$29),IF(E15&lt;1000,0,IF(E15&lt;=2000,(a_RRC2*E15^(-c_RRC))*(1-($C$29/1000*(E15-1000))),(a_RRC2*E15^(-c_RRC))*(1-$C$29)))),IF(E15&lt;1000,0,IF(E15&lt;=2000,(a_RRC*E15^(-c_RRC))*(1-($C$29/1000*(E15-1000))),(a_RRC*E15^(-c_RRC))*(1-$C$29))))</f>
        <v>13.070446602621418</v>
      </c>
      <c r="F29" s="111">
        <f>IF(OR($B$29="Phase 3*",$B$29="Phase 2*",$B$29="Phase 1*",$B$29="Phase 0*"),IF(F15&gt;=17000,a_RRC2*17000^(-c_RRC)*(1-$C$29),IF(F15&lt;1000,0,IF(F15&lt;=2000,(a_RRC2*F15^(-c_RRC))*(1-($C$29/1000*(F15-1000))),(a_RRC2*F15^(-c_RRC))*(1-$C$29)))),IF(F15&lt;1000,0,IF(F15&lt;=2000,(a_RRC*F15^(-c_RRC))*(1-($C$29/1000*(F15-1000))),(a_RRC*F15^(-c_RRC))*(1-$C$29))))</f>
        <v>15.296873573522216</v>
      </c>
      <c r="G29" s="10"/>
    </row>
    <row r="30" spans="1:7" s="1" customFormat="1" ht="14.25" x14ac:dyDescent="0.25">
      <c r="A30" s="8" t="s">
        <v>51</v>
      </c>
      <c r="B30" s="9"/>
      <c r="C30" s="9"/>
      <c r="D30" s="111">
        <f>IF(D15&lt;=0,0,((D23*D20*D24*D26)+(D19*D24*D26)+((D18-D19)*D25*D27))/(D15*D21))</f>
        <v>22.081160382330118</v>
      </c>
      <c r="E30" s="111">
        <f t="shared" ref="E30:F30" si="3">IF(E15&lt;=0,0,((E23*E20*E24*E26)+(E19*E24*E26)+((E18-E19)*E25*E27))/(E15*E21))</f>
        <v>13.107300809117923</v>
      </c>
      <c r="F30" s="111">
        <f t="shared" si="3"/>
        <v>12.965720092611885</v>
      </c>
      <c r="G30" s="10"/>
    </row>
    <row r="31" spans="1:7" s="1" customFormat="1" x14ac:dyDescent="0.2">
      <c r="A31" s="14" t="s">
        <v>119</v>
      </c>
      <c r="B31" s="122" t="str">
        <f>$B29</f>
        <v>Phase 0</v>
      </c>
      <c r="C31" s="15"/>
      <c r="D31" s="55">
        <f>(D29-D30)/D29</f>
        <v>-9.2411508110492716E-2</v>
      </c>
      <c r="E31" s="55">
        <f>IF(E29=0,0,(E29-E30)/E29)</f>
        <v>-2.8196593136391884E-3</v>
      </c>
      <c r="F31" s="55">
        <f>IF(F29=0,0,(F29-F30)/F29)</f>
        <v>0.15239411306539064</v>
      </c>
      <c r="G31" s="16"/>
    </row>
    <row r="32" spans="1:7" s="43" customFormat="1" x14ac:dyDescent="0.2">
      <c r="A32" s="42"/>
    </row>
    <row r="33" spans="1:7" s="43" customFormat="1" x14ac:dyDescent="0.2">
      <c r="A33" s="42"/>
      <c r="C33" s="37"/>
      <c r="D33" s="37"/>
      <c r="E33" s="37"/>
      <c r="F33" s="37"/>
      <c r="G33" s="37"/>
    </row>
    <row r="34" spans="1:7" s="43" customFormat="1" x14ac:dyDescent="0.2">
      <c r="A34" s="42"/>
      <c r="C34" s="44"/>
      <c r="D34" s="44"/>
      <c r="E34" s="44"/>
      <c r="F34" s="44"/>
      <c r="G34" s="44"/>
    </row>
  </sheetData>
  <sheetProtection algorithmName="SHA-512" hashValue="fcieutb4rvnTlHloKKjE8s9jlnZI9CSvArQ88LN9noVvf24EFGuNAGzVu1FBS0uGR+FMsNFc6aQr/KKmiVD/ww==" saltValue="q++54ucXeZH7xY79VJ1cgA==" spinCount="100000" sheet="1" selectLockedCells="1"/>
  <mergeCells count="2">
    <mergeCell ref="C2:D2"/>
    <mergeCell ref="C3:D3"/>
  </mergeCells>
  <conditionalFormatting sqref="D31:F31">
    <cfRule type="cellIs" dxfId="5" priority="1" operator="greaterThanOrEqual">
      <formula>0</formula>
    </cfRule>
    <cfRule type="cellIs" dxfId="4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614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Data!$B$1:$B$8</xm:f>
          </x14:formula1>
          <xm:sqref>B29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showGridLines="0" topLeftCell="A13" zoomScaleNormal="100" workbookViewId="0">
      <selection activeCell="D9" sqref="D9"/>
    </sheetView>
  </sheetViews>
  <sheetFormatPr defaultRowHeight="12.75" x14ac:dyDescent="0.2"/>
  <cols>
    <col min="1" max="1" width="32.28515625" style="119" customWidth="1"/>
    <col min="2" max="2" width="8.42578125" style="119" customWidth="1"/>
    <col min="3" max="3" width="12.7109375" style="119" customWidth="1"/>
    <col min="4" max="6" width="10.7109375" style="119" customWidth="1"/>
    <col min="7" max="7" width="1.28515625" style="119" customWidth="1"/>
    <col min="8" max="16384" width="9.140625" style="119"/>
  </cols>
  <sheetData>
    <row r="1" spans="1:9" s="85" customFormat="1" ht="11.25" customHeight="1" x14ac:dyDescent="0.2">
      <c r="A1" s="84"/>
      <c r="C1" s="86"/>
      <c r="D1" s="86"/>
      <c r="E1" s="86"/>
      <c r="F1" s="86"/>
      <c r="G1" s="86"/>
      <c r="H1" s="86"/>
    </row>
    <row r="2" spans="1:9" s="85" customFormat="1" ht="11.25" customHeight="1" x14ac:dyDescent="0.2">
      <c r="B2" s="23" t="s">
        <v>129</v>
      </c>
      <c r="C2" s="135" t="s">
        <v>131</v>
      </c>
      <c r="D2" s="135"/>
      <c r="E2" s="87"/>
      <c r="F2" s="87"/>
      <c r="G2" s="87"/>
      <c r="I2" s="86"/>
    </row>
    <row r="3" spans="1:9" s="85" customFormat="1" ht="11.25" customHeight="1" x14ac:dyDescent="0.2">
      <c r="B3" s="23" t="s">
        <v>130</v>
      </c>
      <c r="C3" s="136" t="str">
        <f ca="1">MID(CELL("filename",A1),FIND("]",CELL("filename",A1))+1,255)</f>
        <v>RoPax</v>
      </c>
      <c r="D3" s="136"/>
      <c r="E3" s="87"/>
      <c r="F3" s="87"/>
      <c r="G3" s="87"/>
      <c r="H3" s="88"/>
      <c r="I3" s="89"/>
    </row>
    <row r="4" spans="1:9" s="85" customFormat="1" ht="11.25" customHeight="1" x14ac:dyDescent="0.2">
      <c r="B4" s="128"/>
      <c r="C4" s="130" t="s">
        <v>52</v>
      </c>
      <c r="D4" s="129"/>
      <c r="E4" s="87"/>
      <c r="F4" s="87"/>
      <c r="G4" s="87"/>
    </row>
    <row r="5" spans="1:9" s="85" customFormat="1" ht="11.25" customHeight="1" x14ac:dyDescent="0.2">
      <c r="A5" s="90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91"/>
      <c r="F5" s="91"/>
      <c r="G5" s="91"/>
      <c r="H5" s="90"/>
      <c r="I5" s="90"/>
    </row>
    <row r="6" spans="1:9" s="85" customFormat="1" ht="11.25" customHeight="1" x14ac:dyDescent="0.2">
      <c r="A6" s="92"/>
      <c r="B6" s="92"/>
      <c r="C6" s="93"/>
      <c r="D6" s="93"/>
      <c r="E6" s="93"/>
      <c r="F6" s="93"/>
      <c r="G6" s="93"/>
      <c r="H6" s="94"/>
      <c r="I6" s="90"/>
    </row>
    <row r="7" spans="1:9" s="85" customFormat="1" ht="11.25" customHeight="1" x14ac:dyDescent="0.25">
      <c r="A7" s="95"/>
      <c r="B7" s="95"/>
      <c r="C7" s="96"/>
      <c r="D7" s="96"/>
      <c r="E7" s="96"/>
      <c r="F7" s="96"/>
      <c r="G7" s="96"/>
      <c r="H7" s="96"/>
      <c r="I7" s="95"/>
    </row>
    <row r="8" spans="1:9" s="99" customFormat="1" x14ac:dyDescent="0.2">
      <c r="A8" s="5"/>
      <c r="B8" s="6"/>
      <c r="C8" s="6"/>
      <c r="D8" s="97" t="s">
        <v>21</v>
      </c>
      <c r="E8" s="97" t="s">
        <v>22</v>
      </c>
      <c r="F8" s="97" t="s">
        <v>23</v>
      </c>
      <c r="G8" s="98"/>
    </row>
    <row r="9" spans="1:9" s="99" customFormat="1" x14ac:dyDescent="0.2">
      <c r="A9" s="8" t="s">
        <v>0</v>
      </c>
      <c r="B9" s="9"/>
      <c r="C9" s="9"/>
      <c r="D9" s="36" t="s">
        <v>133</v>
      </c>
      <c r="E9" s="36" t="s">
        <v>134</v>
      </c>
      <c r="F9" s="36" t="s">
        <v>70</v>
      </c>
      <c r="G9" s="101"/>
    </row>
    <row r="10" spans="1:9" s="99" customFormat="1" ht="6" customHeight="1" x14ac:dyDescent="0.2">
      <c r="A10" s="8"/>
      <c r="B10" s="9"/>
      <c r="C10" s="9"/>
      <c r="D10" s="102"/>
      <c r="E10" s="102"/>
      <c r="F10" s="102"/>
      <c r="G10" s="101"/>
    </row>
    <row r="11" spans="1:9" s="99" customFormat="1" ht="14.25" x14ac:dyDescent="0.25">
      <c r="A11" s="8" t="s">
        <v>24</v>
      </c>
      <c r="B11" s="9" t="s">
        <v>34</v>
      </c>
      <c r="C11" s="9" t="s">
        <v>25</v>
      </c>
      <c r="D11" s="103">
        <v>169</v>
      </c>
      <c r="E11" s="103">
        <v>169</v>
      </c>
      <c r="F11" s="103">
        <v>169</v>
      </c>
      <c r="G11" s="101"/>
    </row>
    <row r="12" spans="1:9" s="99" customFormat="1" ht="14.25" x14ac:dyDescent="0.25">
      <c r="A12" s="8" t="s">
        <v>63</v>
      </c>
      <c r="B12" s="9" t="s">
        <v>65</v>
      </c>
      <c r="C12" s="9" t="s">
        <v>25</v>
      </c>
      <c r="D12" s="103">
        <v>27.2</v>
      </c>
      <c r="E12" s="103">
        <v>27.2</v>
      </c>
      <c r="F12" s="103">
        <v>27.2</v>
      </c>
      <c r="G12" s="101"/>
    </row>
    <row r="13" spans="1:9" s="99" customFormat="1" ht="14.25" x14ac:dyDescent="0.25">
      <c r="A13" s="8" t="s">
        <v>64</v>
      </c>
      <c r="B13" s="9" t="s">
        <v>66</v>
      </c>
      <c r="C13" s="9" t="s">
        <v>25</v>
      </c>
      <c r="D13" s="103">
        <v>6.2</v>
      </c>
      <c r="E13" s="103">
        <v>6.2</v>
      </c>
      <c r="F13" s="103">
        <v>6.2</v>
      </c>
      <c r="G13" s="101"/>
    </row>
    <row r="14" spans="1:9" s="99" customFormat="1" ht="14.25" x14ac:dyDescent="0.25">
      <c r="A14" s="8" t="s">
        <v>67</v>
      </c>
      <c r="B14" s="9" t="s">
        <v>68</v>
      </c>
      <c r="C14" s="9" t="s">
        <v>4</v>
      </c>
      <c r="D14" s="104">
        <v>18000</v>
      </c>
      <c r="E14" s="104">
        <v>18000</v>
      </c>
      <c r="F14" s="104">
        <v>18000</v>
      </c>
      <c r="G14" s="101"/>
    </row>
    <row r="15" spans="1:9" s="99" customFormat="1" x14ac:dyDescent="0.2">
      <c r="A15" s="8" t="s">
        <v>32</v>
      </c>
      <c r="B15" s="9" t="s">
        <v>1</v>
      </c>
      <c r="C15" s="9" t="s">
        <v>4</v>
      </c>
      <c r="D15" s="104">
        <v>1000</v>
      </c>
      <c r="E15" s="104">
        <v>5000</v>
      </c>
      <c r="F15" s="104">
        <v>12000</v>
      </c>
      <c r="G15" s="101"/>
    </row>
    <row r="16" spans="1:9" s="99" customFormat="1" x14ac:dyDescent="0.2">
      <c r="A16" s="8" t="s">
        <v>71</v>
      </c>
      <c r="B16" s="9" t="s">
        <v>72</v>
      </c>
      <c r="C16" s="9" t="s">
        <v>73</v>
      </c>
      <c r="D16" s="104">
        <v>25000</v>
      </c>
      <c r="E16" s="104">
        <v>25000</v>
      </c>
      <c r="F16" s="104">
        <v>25000</v>
      </c>
      <c r="G16" s="101"/>
    </row>
    <row r="17" spans="1:7" s="99" customFormat="1" ht="14.25" x14ac:dyDescent="0.25">
      <c r="A17" s="8" t="s">
        <v>9</v>
      </c>
      <c r="B17" s="9" t="s">
        <v>35</v>
      </c>
      <c r="C17" s="9" t="s">
        <v>5</v>
      </c>
      <c r="D17" s="104">
        <v>20000</v>
      </c>
      <c r="E17" s="104">
        <v>20000</v>
      </c>
      <c r="F17" s="104">
        <v>20000</v>
      </c>
      <c r="G17" s="101"/>
    </row>
    <row r="18" spans="1:7" s="99" customFormat="1" ht="14.25" x14ac:dyDescent="0.25">
      <c r="A18" s="8" t="s">
        <v>26</v>
      </c>
      <c r="B18" s="9" t="s">
        <v>115</v>
      </c>
      <c r="C18" s="9" t="s">
        <v>5</v>
      </c>
      <c r="D18" s="104">
        <v>5000</v>
      </c>
      <c r="E18" s="104">
        <v>5000</v>
      </c>
      <c r="F18" s="104">
        <v>5000</v>
      </c>
      <c r="G18" s="101"/>
    </row>
    <row r="19" spans="1:7" s="99" customFormat="1" ht="15.75" x14ac:dyDescent="0.25">
      <c r="A19" s="8" t="s">
        <v>110</v>
      </c>
      <c r="B19" s="9" t="s">
        <v>37</v>
      </c>
      <c r="C19" s="9" t="s">
        <v>5</v>
      </c>
      <c r="D19" s="105">
        <f>0.866*D16^0.732</f>
        <v>1434.8614852817702</v>
      </c>
      <c r="E19" s="105">
        <f t="shared" ref="E19:F19" si="0">0.866*E16^0.732</f>
        <v>1434.8614852817702</v>
      </c>
      <c r="F19" s="105">
        <f t="shared" si="0"/>
        <v>1434.8614852817702</v>
      </c>
      <c r="G19" s="106"/>
    </row>
    <row r="20" spans="1:7" s="99" customFormat="1" ht="14.25" x14ac:dyDescent="0.25">
      <c r="A20" s="8" t="s">
        <v>109</v>
      </c>
      <c r="B20" s="9" t="s">
        <v>108</v>
      </c>
      <c r="C20" s="9" t="s">
        <v>5</v>
      </c>
      <c r="D20" s="107">
        <f>IF(0.75^2*D18&lt;=D19,0.75^2*D18,D19)</f>
        <v>1434.8614852817702</v>
      </c>
      <c r="E20" s="107">
        <f t="shared" ref="E20:F20" si="1">IF(0.75^2*E18&lt;=E19,0.75^2*E18,E19)</f>
        <v>1434.8614852817702</v>
      </c>
      <c r="F20" s="107">
        <f t="shared" si="1"/>
        <v>1434.8614852817702</v>
      </c>
      <c r="G20" s="101"/>
    </row>
    <row r="21" spans="1:7" s="99" customFormat="1" ht="14.25" x14ac:dyDescent="0.25">
      <c r="A21" s="8" t="s">
        <v>27</v>
      </c>
      <c r="B21" s="9" t="s">
        <v>36</v>
      </c>
      <c r="C21" s="9" t="s">
        <v>5</v>
      </c>
      <c r="D21" s="105">
        <f>0.75*D17-D20</f>
        <v>13565.13851471823</v>
      </c>
      <c r="E21" s="105">
        <f t="shared" ref="E21:F21" si="2">0.75*E17-E20</f>
        <v>13565.13851471823</v>
      </c>
      <c r="F21" s="105">
        <f t="shared" si="2"/>
        <v>13565.13851471823</v>
      </c>
      <c r="G21" s="106"/>
    </row>
    <row r="22" spans="1:7" s="99" customFormat="1" ht="14.25" x14ac:dyDescent="0.25">
      <c r="A22" s="12" t="s">
        <v>111</v>
      </c>
      <c r="B22" s="9" t="s">
        <v>39</v>
      </c>
      <c r="C22" s="9" t="s">
        <v>6</v>
      </c>
      <c r="D22" s="108">
        <v>21</v>
      </c>
      <c r="E22" s="108">
        <v>21</v>
      </c>
      <c r="F22" s="108">
        <v>21</v>
      </c>
      <c r="G22" s="101"/>
    </row>
    <row r="23" spans="1:7" s="99" customFormat="1" ht="6" customHeight="1" x14ac:dyDescent="0.2">
      <c r="A23" s="8"/>
      <c r="B23" s="9"/>
      <c r="C23" s="9"/>
      <c r="D23" s="102"/>
      <c r="E23" s="102"/>
      <c r="F23" s="102"/>
      <c r="G23" s="101"/>
    </row>
    <row r="24" spans="1:7" s="99" customFormat="1" ht="14.25" x14ac:dyDescent="0.25">
      <c r="A24" s="83" t="s">
        <v>31</v>
      </c>
      <c r="B24" s="9" t="s">
        <v>112</v>
      </c>
      <c r="C24" s="9" t="s">
        <v>33</v>
      </c>
      <c r="D24" s="109">
        <f>IF((D15/D16)&lt;0.25,((D15/D16)/0.25)^(-0.8),1)</f>
        <v>4.3321552697196664</v>
      </c>
      <c r="E24" s="109">
        <f>IF((E15/E16)&lt;0.25,((E15/E16)/0.25)^(-0.8),1)</f>
        <v>1.1954406247375462</v>
      </c>
      <c r="F24" s="109">
        <f>IF((F15/F16)&lt;0.25,((F15/F16)/0.25)^(-0.8),1)</f>
        <v>1</v>
      </c>
      <c r="G24" s="106"/>
    </row>
    <row r="25" spans="1:7" s="99" customFormat="1" ht="14.25" x14ac:dyDescent="0.25">
      <c r="A25" s="83" t="s">
        <v>30</v>
      </c>
      <c r="B25" s="9" t="s">
        <v>69</v>
      </c>
      <c r="C25" s="9" t="s">
        <v>33</v>
      </c>
      <c r="D25" s="109">
        <f>1/(((0.51444*D22/SQRT(D11*9.81))^2.5)*((D11/D12)^0.75)*((D12/D13)^0.75)*(D11/((D14/1.025)^(1/3))))</f>
        <v>0.35555039043523767</v>
      </c>
      <c r="E25" s="109">
        <f>1/(((0.51444*E22/SQRT(E11*9.81))^2.5)*((E11/E12)^0.75)*((E12/E13)^0.75)*(E11/((E14/1.025)^(1/3))))</f>
        <v>0.35555039043523767</v>
      </c>
      <c r="F25" s="109">
        <f>1/(((0.51444*F22/SQRT(F11*9.81))^2.5)*((F11/F12)^0.75)*((F12/F13)^0.75)*(F11/((F14/1.025)^(1/3))))</f>
        <v>0.35555039043523767</v>
      </c>
      <c r="G25" s="106"/>
    </row>
    <row r="26" spans="1:7" s="99" customFormat="1" ht="14.25" x14ac:dyDescent="0.25">
      <c r="A26" s="8" t="s">
        <v>2</v>
      </c>
      <c r="B26" s="9" t="s">
        <v>44</v>
      </c>
      <c r="C26" s="9" t="s">
        <v>7</v>
      </c>
      <c r="D26" s="132">
        <v>178</v>
      </c>
      <c r="E26" s="132">
        <v>178</v>
      </c>
      <c r="F26" s="132">
        <v>178</v>
      </c>
      <c r="G26" s="110"/>
    </row>
    <row r="27" spans="1:7" s="99" customFormat="1" ht="14.25" x14ac:dyDescent="0.25">
      <c r="A27" s="8" t="s">
        <v>3</v>
      </c>
      <c r="B27" s="9" t="s">
        <v>45</v>
      </c>
      <c r="C27" s="9" t="s">
        <v>7</v>
      </c>
      <c r="D27" s="132">
        <v>185</v>
      </c>
      <c r="E27" s="132">
        <v>185</v>
      </c>
      <c r="F27" s="132">
        <v>185</v>
      </c>
      <c r="G27" s="110"/>
    </row>
    <row r="28" spans="1:7" s="99" customFormat="1" ht="14.25" x14ac:dyDescent="0.25">
      <c r="A28" s="8" t="s">
        <v>46</v>
      </c>
      <c r="B28" s="9" t="s">
        <v>47</v>
      </c>
      <c r="C28" s="9" t="s">
        <v>48</v>
      </c>
      <c r="D28" s="133">
        <v>3.1139999999999999</v>
      </c>
      <c r="E28" s="133">
        <v>3.1139999999999999</v>
      </c>
      <c r="F28" s="133">
        <v>3.1139999999999999</v>
      </c>
      <c r="G28" s="110"/>
    </row>
    <row r="29" spans="1:7" s="99" customFormat="1" ht="14.25" x14ac:dyDescent="0.25">
      <c r="A29" s="8" t="s">
        <v>49</v>
      </c>
      <c r="B29" s="9" t="s">
        <v>50</v>
      </c>
      <c r="C29" s="9" t="s">
        <v>48</v>
      </c>
      <c r="D29" s="133">
        <v>3.1139999999999999</v>
      </c>
      <c r="E29" s="133">
        <v>3.1139999999999999</v>
      </c>
      <c r="F29" s="133">
        <v>3.1139999999999999</v>
      </c>
      <c r="G29" s="110"/>
    </row>
    <row r="30" spans="1:7" s="99" customFormat="1" ht="6" customHeight="1" x14ac:dyDescent="0.2">
      <c r="A30" s="8"/>
      <c r="B30" s="9"/>
      <c r="C30" s="9"/>
      <c r="D30" s="100"/>
      <c r="E30" s="100"/>
      <c r="F30" s="100"/>
      <c r="G30" s="106"/>
    </row>
    <row r="31" spans="1:7" s="113" customFormat="1" ht="14.25" x14ac:dyDescent="0.25">
      <c r="A31" s="120" t="s">
        <v>128</v>
      </c>
      <c r="B31" s="134" t="s">
        <v>120</v>
      </c>
      <c r="C31" s="126">
        <f>IF(OR($B$31="Phase 3",$B$31="Phase 3*"),0.3,IF(OR($B$31="Phase 2",$B$31="Phase 2*"),0.2,IF(OR($B$31="Phase 1",$B$31="Phase 1*"),0.05,0)))</f>
        <v>0</v>
      </c>
      <c r="D31" s="111">
        <f>IF(OR($B$31="Phase 3*",$B$31="Phase 2*",$B$31="Phase 1*",$B$31="Phase 0*"),IF(D15&gt;=10000,a_RRP2*10000^(-c_RRP)*(1-$C$31),IF(D15&lt;250,0,IF(D15&lt;=1000,(a_RRP2*D15^(-c_RRP))*(1-($C$31/750*(D15-250))),(a_RRP2*D15^(-c_RRP))*(1-$C$31)))),IF(D15&lt;250,0,IF(D15&lt;=1000,(a_RRP*D15^(-c_RRP))*(1-($C$31/750*(D15-250))),(a_RRP*D15^(-c_RRP))*(1-$C$31))))</f>
        <v>54.114074329526254</v>
      </c>
      <c r="E31" s="111">
        <f>IF(OR($B$31="Phase 3*",$B$31="Phase 2*",$B$31="Phase 1*",$B$31="Phase 0*"),IF(E15&gt;=10000,a_RRP2*10000^(-c_RRP)*(1-$C$31),IF(E15&lt;250,0,IF(E15&lt;=1000,(a_RRP2*E15^(-c_RRP))*(1-($C$31/750*(E15-250))),(a_RRP2*E15^(-c_RRP))*(1-$C$31)))),IF(E15&lt;250,0,IF(E15&lt;=1000,(a_RRP*E15^(-c_RRP))*(1-($C$31/750*(E15-250))),(a_RRP*E15^(-c_RRP))*(1-$C$31))))</f>
        <v>29.309112114581389</v>
      </c>
      <c r="F31" s="111">
        <f>IF(OR($B$31="Phase 3*",$B$31="Phase 2*",$B$31="Phase 1*",$B$31="Phase 0*"),IF(F15&gt;=10000,a_RRP2*10000^(-c_RRP)*(1-$C$31),IF(F15&lt;250,0,IF(F15&lt;=1000,(a_RRP2*F15^(-c_RRP))*(1-($C$31/750*(F15-250))),(a_RRP2*F15^(-c_RRP))*(1-$C$31)))),IF(F15&lt;250,0,IF(F15&lt;=1000,(a_RRP*F15^(-c_RRP))*(1-($C$31/750*(F15-250))),(a_RRP*F15^(-c_RRP))*(1-$C$31))))</f>
        <v>20.996271459549998</v>
      </c>
      <c r="G31" s="112"/>
    </row>
    <row r="32" spans="1:7" s="113" customFormat="1" ht="14.25" x14ac:dyDescent="0.25">
      <c r="A32" s="8" t="s">
        <v>51</v>
      </c>
      <c r="B32" s="9"/>
      <c r="C32" s="9"/>
      <c r="D32" s="111">
        <f>IF(D15&lt;=0,0,((D25*D21*D26*D28)+(D20*D26*D28)+((D19-D20)*D27*D29))/(D24*D15*D22))</f>
        <v>38.128306343881263</v>
      </c>
      <c r="E32" s="111">
        <f t="shared" ref="E32:F32" si="3">IF(E15&lt;=0,0,((E25*E21*E26*E28)+(E20*E26*E28)+((E19-E20)*E27*E29))/(E24*E15*E22))</f>
        <v>27.634621048518419</v>
      </c>
      <c r="F32" s="111">
        <f t="shared" si="3"/>
        <v>13.764811937760918</v>
      </c>
      <c r="G32" s="112"/>
    </row>
    <row r="33" spans="1:7" s="113" customFormat="1" x14ac:dyDescent="0.2">
      <c r="A33" s="14" t="s">
        <v>119</v>
      </c>
      <c r="B33" s="122" t="str">
        <f>$B31</f>
        <v>Phase 0</v>
      </c>
      <c r="C33" s="15"/>
      <c r="D33" s="55">
        <f>(D31-D32)/D31</f>
        <v>0.29540869327820468</v>
      </c>
      <c r="E33" s="55">
        <f>IF(E31=0,0,(E31-E32)/E31)</f>
        <v>5.7132098015002804E-2</v>
      </c>
      <c r="F33" s="55">
        <f>IF(F31=0,0,(F31-F32)/F31)</f>
        <v>0.34441636629249739</v>
      </c>
      <c r="G33" s="114"/>
    </row>
    <row r="34" spans="1:7" s="116" customFormat="1" x14ac:dyDescent="0.2">
      <c r="A34" s="115"/>
    </row>
    <row r="35" spans="1:7" s="116" customFormat="1" x14ac:dyDescent="0.2">
      <c r="A35" s="115"/>
      <c r="C35" s="117"/>
      <c r="D35" s="117"/>
      <c r="E35" s="117"/>
      <c r="F35" s="117"/>
      <c r="G35" s="117"/>
    </row>
    <row r="36" spans="1:7" s="116" customFormat="1" x14ac:dyDescent="0.2">
      <c r="A36" s="115"/>
      <c r="C36" s="118"/>
      <c r="D36" s="118"/>
      <c r="E36" s="118"/>
      <c r="F36" s="118"/>
      <c r="G36" s="118"/>
    </row>
  </sheetData>
  <sheetProtection algorithmName="SHA-512" hashValue="LTJG0HP06y/0lOnUK8gxQwiswLHoieuBluzlc7LHvmHi8U55BFFd2cyPqDQIzDtE3aGAwaCcg5b2WtvwpBZoAg==" saltValue="s3+cHWAWpBK92tksCF1O3g==" spinCount="100000" sheet="1" selectLockedCells="1"/>
  <mergeCells count="2">
    <mergeCell ref="C2:D2"/>
    <mergeCell ref="C3:D3"/>
  </mergeCells>
  <conditionalFormatting sqref="D33:F33">
    <cfRule type="cellIs" dxfId="3" priority="1" operator="greaterThanOrEqual">
      <formula>0</formula>
    </cfRule>
    <cfRule type="cellIs" dxfId="2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9457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1945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Data!$B$1:$B$8</xm:f>
          </x14:formula1>
          <xm:sqref>B31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showGridLines="0" tabSelected="1" zoomScaleNormal="100" workbookViewId="0">
      <selection activeCell="D9" sqref="D9"/>
    </sheetView>
  </sheetViews>
  <sheetFormatPr defaultRowHeight="12.75" x14ac:dyDescent="0.2"/>
  <cols>
    <col min="1" max="1" width="32.28515625" style="35" customWidth="1"/>
    <col min="2" max="2" width="8.42578125" style="35" customWidth="1"/>
    <col min="3" max="3" width="12.7109375" style="35" customWidth="1"/>
    <col min="4" max="6" width="10.7109375" style="35" customWidth="1"/>
    <col min="7" max="7" width="1.28515625" style="35" customWidth="1"/>
    <col min="8" max="16384" width="9.140625" style="35"/>
  </cols>
  <sheetData>
    <row r="1" spans="1:9" s="23" customFormat="1" ht="11.25" customHeight="1" x14ac:dyDescent="0.2">
      <c r="A1" s="22"/>
      <c r="C1" s="24"/>
      <c r="D1" s="24"/>
      <c r="E1" s="24"/>
      <c r="F1" s="24"/>
      <c r="G1" s="24"/>
      <c r="H1" s="24"/>
    </row>
    <row r="2" spans="1:9" s="23" customFormat="1" ht="11.25" customHeight="1" x14ac:dyDescent="0.2">
      <c r="B2" s="23" t="s">
        <v>129</v>
      </c>
      <c r="C2" s="135" t="s">
        <v>131</v>
      </c>
      <c r="D2" s="135"/>
      <c r="E2" s="25"/>
      <c r="F2" s="25"/>
      <c r="G2" s="25"/>
      <c r="I2" s="24"/>
    </row>
    <row r="3" spans="1:9" s="23" customFormat="1" ht="11.25" customHeight="1" x14ac:dyDescent="0.2">
      <c r="B3" s="23" t="s">
        <v>130</v>
      </c>
      <c r="C3" s="136" t="str">
        <f ca="1">MID(CELL("filename",A1),FIND("]",CELL("filename",A1))+1,255)</f>
        <v>Vehicle Carriers</v>
      </c>
      <c r="D3" s="136"/>
      <c r="E3" s="25"/>
      <c r="F3" s="25"/>
      <c r="G3" s="25"/>
      <c r="H3" s="26"/>
      <c r="I3" s="27"/>
    </row>
    <row r="4" spans="1:9" s="23" customFormat="1" ht="11.25" customHeight="1" x14ac:dyDescent="0.2">
      <c r="B4" s="128"/>
      <c r="C4" s="130" t="s">
        <v>52</v>
      </c>
      <c r="D4" s="129"/>
      <c r="E4" s="25"/>
      <c r="F4" s="25"/>
      <c r="G4" s="25"/>
    </row>
    <row r="5" spans="1:9" s="23" customFormat="1" ht="11.25" customHeight="1" x14ac:dyDescent="0.2">
      <c r="A5" s="28"/>
      <c r="B5" s="131" t="s">
        <v>132</v>
      </c>
      <c r="C5" s="131" t="str">
        <f ca="1">MID(CELL("filnamn"),FIND("[",CELL("filnamn"))+1,FIND("]",CELL("filnamn"))-FIND("[",CELL("filnamn"))-6)</f>
        <v>FSS EEDI Calc_2017-12-06_O</v>
      </c>
      <c r="D5" s="130"/>
      <c r="E5" s="29"/>
      <c r="F5" s="29"/>
      <c r="G5" s="29"/>
      <c r="H5" s="28"/>
      <c r="I5" s="28"/>
    </row>
    <row r="6" spans="1:9" s="23" customFormat="1" ht="11.25" customHeight="1" x14ac:dyDescent="0.2">
      <c r="A6" s="30"/>
      <c r="B6" s="30"/>
      <c r="C6" s="31"/>
      <c r="D6" s="31"/>
      <c r="E6" s="31"/>
      <c r="F6" s="31"/>
      <c r="G6" s="31"/>
      <c r="H6" s="32"/>
      <c r="I6" s="28"/>
    </row>
    <row r="7" spans="1:9" s="23" customFormat="1" ht="11.25" customHeight="1" x14ac:dyDescent="0.25">
      <c r="A7" s="33"/>
      <c r="B7" s="33"/>
      <c r="C7" s="34"/>
      <c r="D7" s="34"/>
      <c r="E7" s="34"/>
      <c r="F7" s="34"/>
      <c r="G7" s="34"/>
      <c r="H7" s="34"/>
      <c r="I7" s="33"/>
    </row>
    <row r="8" spans="1:9" s="21" customFormat="1" x14ac:dyDescent="0.2">
      <c r="A8" s="5"/>
      <c r="B8" s="6"/>
      <c r="C8" s="6"/>
      <c r="D8" s="7" t="s">
        <v>21</v>
      </c>
      <c r="E8" s="7" t="s">
        <v>22</v>
      </c>
      <c r="F8" s="7" t="s">
        <v>23</v>
      </c>
      <c r="G8" s="45"/>
    </row>
    <row r="9" spans="1:9" s="21" customFormat="1" x14ac:dyDescent="0.2">
      <c r="A9" s="8" t="s">
        <v>0</v>
      </c>
      <c r="B9" s="9"/>
      <c r="C9" s="9"/>
      <c r="D9" s="36" t="s">
        <v>53</v>
      </c>
      <c r="E9" s="36" t="s">
        <v>54</v>
      </c>
      <c r="F9" s="36" t="s">
        <v>70</v>
      </c>
      <c r="G9" s="47"/>
    </row>
    <row r="10" spans="1:9" s="21" customFormat="1" ht="6" customHeight="1" x14ac:dyDescent="0.2">
      <c r="A10" s="8"/>
      <c r="B10" s="9"/>
      <c r="C10" s="9"/>
      <c r="D10" s="46"/>
      <c r="E10" s="46"/>
      <c r="F10" s="46"/>
      <c r="G10" s="47"/>
    </row>
    <row r="11" spans="1:9" s="21" customFormat="1" ht="14.25" x14ac:dyDescent="0.25">
      <c r="A11" s="8" t="s">
        <v>24</v>
      </c>
      <c r="B11" s="9" t="s">
        <v>34</v>
      </c>
      <c r="C11" s="9" t="s">
        <v>25</v>
      </c>
      <c r="D11" s="38">
        <v>265</v>
      </c>
      <c r="E11" s="38">
        <v>195</v>
      </c>
      <c r="F11" s="38">
        <v>219.3</v>
      </c>
      <c r="G11" s="47"/>
    </row>
    <row r="12" spans="1:9" s="21" customFormat="1" x14ac:dyDescent="0.2">
      <c r="A12" s="8" t="s">
        <v>32</v>
      </c>
      <c r="B12" s="9" t="s">
        <v>1</v>
      </c>
      <c r="C12" s="9" t="s">
        <v>4</v>
      </c>
      <c r="D12" s="39">
        <v>20000</v>
      </c>
      <c r="E12" s="39">
        <v>20000</v>
      </c>
      <c r="F12" s="39">
        <v>20000</v>
      </c>
      <c r="G12" s="47"/>
    </row>
    <row r="13" spans="1:9" s="21" customFormat="1" x14ac:dyDescent="0.2">
      <c r="A13" s="8" t="s">
        <v>71</v>
      </c>
      <c r="B13" s="9" t="s">
        <v>72</v>
      </c>
      <c r="C13" s="9" t="s">
        <v>73</v>
      </c>
      <c r="D13" s="39">
        <v>70000</v>
      </c>
      <c r="E13" s="39">
        <v>66500</v>
      </c>
      <c r="F13" s="39">
        <v>50000</v>
      </c>
      <c r="G13" s="47"/>
    </row>
    <row r="14" spans="1:9" s="21" customFormat="1" x14ac:dyDescent="0.2">
      <c r="A14" s="8" t="s">
        <v>113</v>
      </c>
      <c r="B14" s="9" t="s">
        <v>114</v>
      </c>
      <c r="C14" s="9"/>
      <c r="D14" s="121">
        <f>D12/D13</f>
        <v>0.2857142857142857</v>
      </c>
      <c r="E14" s="121">
        <f t="shared" ref="E14:F14" si="0">E12/E13</f>
        <v>0.3007518796992481</v>
      </c>
      <c r="F14" s="121">
        <f t="shared" si="0"/>
        <v>0.4</v>
      </c>
      <c r="G14" s="47"/>
    </row>
    <row r="15" spans="1:9" s="21" customFormat="1" ht="14.25" x14ac:dyDescent="0.25">
      <c r="A15" s="8" t="s">
        <v>9</v>
      </c>
      <c r="B15" s="9" t="s">
        <v>35</v>
      </c>
      <c r="C15" s="9" t="s">
        <v>5</v>
      </c>
      <c r="D15" s="39">
        <v>20000</v>
      </c>
      <c r="E15" s="39">
        <v>20000</v>
      </c>
      <c r="F15" s="39">
        <v>20000</v>
      </c>
      <c r="G15" s="47"/>
    </row>
    <row r="16" spans="1:9" s="21" customFormat="1" ht="14.25" x14ac:dyDescent="0.25">
      <c r="A16" s="8" t="s">
        <v>26</v>
      </c>
      <c r="B16" s="9" t="s">
        <v>115</v>
      </c>
      <c r="C16" s="9" t="s">
        <v>5</v>
      </c>
      <c r="D16" s="39">
        <v>0</v>
      </c>
      <c r="E16" s="39">
        <v>500</v>
      </c>
      <c r="F16" s="39">
        <v>1333.3330000000001</v>
      </c>
      <c r="G16" s="47"/>
    </row>
    <row r="17" spans="1:8" s="21" customFormat="1" ht="14.25" x14ac:dyDescent="0.25">
      <c r="A17" s="8" t="s">
        <v>8</v>
      </c>
      <c r="B17" s="9" t="s">
        <v>37</v>
      </c>
      <c r="C17" s="9" t="s">
        <v>5</v>
      </c>
      <c r="D17" s="11">
        <f>IF(D15&gt;=10000,(0.025*D15)+250,0.05*D15)</f>
        <v>750</v>
      </c>
      <c r="E17" s="11">
        <f t="shared" ref="E17:F17" si="1">IF(E15&gt;=10000,(0.025*E15)+250,0.05*E15)</f>
        <v>750</v>
      </c>
      <c r="F17" s="11">
        <f t="shared" si="1"/>
        <v>750</v>
      </c>
      <c r="G17" s="49"/>
    </row>
    <row r="18" spans="1:8" s="21" customFormat="1" ht="14.25" x14ac:dyDescent="0.25">
      <c r="A18" s="8" t="s">
        <v>109</v>
      </c>
      <c r="B18" s="9" t="s">
        <v>108</v>
      </c>
      <c r="C18" s="9" t="s">
        <v>5</v>
      </c>
      <c r="D18" s="64">
        <f>IF(0.75^2*D16&lt;=D17,0.75^2*D16,D17)</f>
        <v>0</v>
      </c>
      <c r="E18" s="64">
        <f t="shared" ref="E18:F18" si="2">IF(0.75^2*E16&lt;=E17,0.75^2*E16,E17)</f>
        <v>281.25</v>
      </c>
      <c r="F18" s="64">
        <f t="shared" si="2"/>
        <v>749.99981250000008</v>
      </c>
      <c r="G18" s="47"/>
    </row>
    <row r="19" spans="1:8" s="21" customFormat="1" ht="14.25" x14ac:dyDescent="0.25">
      <c r="A19" s="8" t="s">
        <v>27</v>
      </c>
      <c r="B19" s="9" t="s">
        <v>36</v>
      </c>
      <c r="C19" s="9" t="s">
        <v>5</v>
      </c>
      <c r="D19" s="11">
        <f>0.75*D15-D18</f>
        <v>15000</v>
      </c>
      <c r="E19" s="11">
        <f>0.75*E15-E18</f>
        <v>14718.75</v>
      </c>
      <c r="F19" s="11">
        <f>0.75*F15-F18</f>
        <v>14250.0001875</v>
      </c>
      <c r="G19" s="49"/>
      <c r="H19" s="125"/>
    </row>
    <row r="20" spans="1:8" s="21" customFormat="1" ht="14.25" x14ac:dyDescent="0.25">
      <c r="A20" s="12" t="s">
        <v>38</v>
      </c>
      <c r="B20" s="9" t="s">
        <v>39</v>
      </c>
      <c r="C20" s="9" t="s">
        <v>6</v>
      </c>
      <c r="D20" s="38">
        <v>20</v>
      </c>
      <c r="E20" s="38">
        <v>19.89</v>
      </c>
      <c r="F20" s="38">
        <v>19.71</v>
      </c>
      <c r="G20" s="47"/>
      <c r="H20" s="125"/>
    </row>
    <row r="21" spans="1:8" s="21" customFormat="1" ht="6" customHeight="1" x14ac:dyDescent="0.2">
      <c r="A21" s="8"/>
      <c r="B21" s="9"/>
      <c r="C21" s="9"/>
      <c r="D21" s="46"/>
      <c r="E21" s="46"/>
      <c r="F21" s="46"/>
      <c r="G21" s="47"/>
    </row>
    <row r="22" spans="1:8" s="21" customFormat="1" ht="14.25" x14ac:dyDescent="0.25">
      <c r="A22" s="8" t="s">
        <v>2</v>
      </c>
      <c r="B22" s="9" t="s">
        <v>44</v>
      </c>
      <c r="C22" s="9" t="s">
        <v>7</v>
      </c>
      <c r="D22" s="39">
        <v>190</v>
      </c>
      <c r="E22" s="39">
        <v>190</v>
      </c>
      <c r="F22" s="39">
        <v>190</v>
      </c>
      <c r="G22" s="48"/>
    </row>
    <row r="23" spans="1:8" s="21" customFormat="1" ht="14.25" x14ac:dyDescent="0.25">
      <c r="A23" s="8" t="s">
        <v>3</v>
      </c>
      <c r="B23" s="9" t="s">
        <v>45</v>
      </c>
      <c r="C23" s="9" t="s">
        <v>7</v>
      </c>
      <c r="D23" s="39">
        <v>215</v>
      </c>
      <c r="E23" s="39">
        <v>215</v>
      </c>
      <c r="F23" s="39">
        <v>215</v>
      </c>
      <c r="G23" s="48"/>
    </row>
    <row r="24" spans="1:8" s="21" customFormat="1" ht="14.25" x14ac:dyDescent="0.25">
      <c r="A24" s="8" t="s">
        <v>46</v>
      </c>
      <c r="B24" s="9" t="s">
        <v>47</v>
      </c>
      <c r="C24" s="9" t="s">
        <v>48</v>
      </c>
      <c r="D24" s="80">
        <v>3.206</v>
      </c>
      <c r="E24" s="80">
        <v>3.206</v>
      </c>
      <c r="F24" s="80">
        <v>3.206</v>
      </c>
      <c r="G24" s="48"/>
    </row>
    <row r="25" spans="1:8" s="21" customFormat="1" ht="14.25" x14ac:dyDescent="0.25">
      <c r="A25" s="8" t="s">
        <v>49</v>
      </c>
      <c r="B25" s="9" t="s">
        <v>50</v>
      </c>
      <c r="C25" s="9" t="s">
        <v>48</v>
      </c>
      <c r="D25" s="80">
        <v>3.206</v>
      </c>
      <c r="E25" s="80">
        <v>3.206</v>
      </c>
      <c r="F25" s="80">
        <v>3.206</v>
      </c>
      <c r="G25" s="48"/>
    </row>
    <row r="26" spans="1:8" s="21" customFormat="1" ht="6" customHeight="1" x14ac:dyDescent="0.2">
      <c r="A26" s="8"/>
      <c r="B26" s="9"/>
      <c r="C26" s="9"/>
      <c r="D26" s="9"/>
      <c r="E26" s="9"/>
      <c r="F26" s="9"/>
      <c r="G26" s="49"/>
    </row>
    <row r="27" spans="1:8" s="1" customFormat="1" ht="14.25" x14ac:dyDescent="0.25">
      <c r="A27" s="120" t="s">
        <v>118</v>
      </c>
      <c r="B27" s="134" t="s">
        <v>120</v>
      </c>
      <c r="C27" s="126">
        <f>IF($B$27="Phase 3",0.3,IF($B$27="Phase 2",0.15,IF($B$27="Phase 1",0.05,0)))</f>
        <v>0</v>
      </c>
      <c r="D27" s="62">
        <f>IF(D12&lt;10000,0,IF((D12/D13)&lt;0.3,(1-$C$27)*(D12/D13)^(-0.7)*a_RRV2*D12^(-c_RRV),(1-$C$27)*a_RRV1*D12^(-c_RRV)))</f>
        <v>17.674921887077282</v>
      </c>
      <c r="E27" s="62">
        <f>IF(E12&lt;10000,0,IF((E12/E13)&lt;0.3,(1-$C$27)*(E12/E13)^(-0.7)*a_RRV2*E12^(-c_RRV),(1-$C$27)*a_RRV1*E12^(-c_RRV)))</f>
        <v>17.081422527576382</v>
      </c>
      <c r="F27" s="62">
        <f>IF(F12&lt;10000,0,IF((F12/F13)&lt;0.3,(1-$C$27)*(F12/F13)^(-0.7)*a_RRV2*F12^(-c_RRV),(1-$C$27)*a_RRV1*F12^(-c_RRV)))</f>
        <v>17.081422527576382</v>
      </c>
      <c r="G27" s="10"/>
    </row>
    <row r="28" spans="1:8" s="1" customFormat="1" ht="14.25" x14ac:dyDescent="0.25">
      <c r="A28" s="8" t="s">
        <v>51</v>
      </c>
      <c r="B28" s="9"/>
      <c r="C28" s="9"/>
      <c r="D28" s="62">
        <f>IF(D12&lt;=0,0,((D19*D22*D24)+(D18*D22*D24)+((D17-D18)*D23*D25))/(D12*D20))</f>
        <v>24.135168749999998</v>
      </c>
      <c r="E28" s="62">
        <f>IF(E12&lt;=0,0,((E19*E22*E24)+(E18*E22*E24)+((E17-E18)*E23*E25))/(E12*E20))</f>
        <v>23.781308917797887</v>
      </c>
      <c r="F28" s="62">
        <f>IF(F12&lt;=0,0,((F19*F22*F24)+(F18*F22*F24)+((F17-F18)*F23*F25))/(F12*F20))</f>
        <v>23.17884355464707</v>
      </c>
      <c r="G28" s="10"/>
    </row>
    <row r="29" spans="1:8" s="1" customFormat="1" x14ac:dyDescent="0.2">
      <c r="A29" s="14" t="s">
        <v>119</v>
      </c>
      <c r="B29" s="122" t="str">
        <f>$B27</f>
        <v>Phase 0</v>
      </c>
      <c r="C29" s="15"/>
      <c r="D29" s="55">
        <f>(D27-D28)/D27</f>
        <v>-0.36550355946104723</v>
      </c>
      <c r="E29" s="55">
        <f>IF(E27=0,0,(E27-E28)/E27)</f>
        <v>-0.39223234361219944</v>
      </c>
      <c r="F29" s="55">
        <f>IF(F27=0,0,(F27-F28)/F27)</f>
        <v>-0.35696213340703697</v>
      </c>
      <c r="G29" s="16"/>
    </row>
    <row r="30" spans="1:8" s="43" customFormat="1" x14ac:dyDescent="0.2">
      <c r="A30" s="42"/>
    </row>
    <row r="31" spans="1:8" s="43" customFormat="1" x14ac:dyDescent="0.2">
      <c r="A31" s="42"/>
      <c r="C31" s="37"/>
      <c r="D31" s="37"/>
      <c r="E31" s="37"/>
      <c r="F31" s="37"/>
      <c r="G31" s="37"/>
    </row>
    <row r="32" spans="1:8" s="43" customFormat="1" x14ac:dyDescent="0.2">
      <c r="A32" s="42"/>
      <c r="C32" s="44"/>
      <c r="D32" s="44"/>
      <c r="E32" s="44"/>
      <c r="F32" s="44"/>
      <c r="G32" s="44"/>
    </row>
  </sheetData>
  <sheetProtection selectLockedCells="1"/>
  <mergeCells count="2">
    <mergeCell ref="C2:D2"/>
    <mergeCell ref="C3:D3"/>
  </mergeCells>
  <conditionalFormatting sqref="D29:F29">
    <cfRule type="cellIs" dxfId="1" priority="1" operator="greaterThanOrEqual">
      <formula>0</formula>
    </cfRule>
    <cfRule type="cellIs" dxfId="0" priority="2" operator="lessThan">
      <formula>0</formula>
    </cfRule>
  </conditionalFormatting>
  <pageMargins left="0.74803149606299213" right="0.59055118110236227" top="0.47244094488188981" bottom="0.51181102362204722" header="0.47244094488188981" footer="0.51181102362204722"/>
  <pageSetup paperSize="9" orientation="portrait" r:id="rId1"/>
  <headerFooter alignWithMargins="0"/>
  <ignoredErrors>
    <ignoredError sqref="D14:F14" unlockedFormula="1"/>
  </ignoredError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4</xdr:col>
                <xdr:colOff>133350</xdr:colOff>
                <xdr:row>0</xdr:row>
                <xdr:rowOff>38100</xdr:rowOff>
              </from>
              <to>
                <xdr:col>5</xdr:col>
                <xdr:colOff>638175</xdr:colOff>
                <xdr:row>5</xdr:row>
                <xdr:rowOff>85725</xdr:rowOff>
              </to>
            </anchor>
          </objectPr>
        </oleObject>
      </mc:Choice>
      <mc:Fallback>
        <oleObject progId="Word.Picture.8" shapeId="819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Data!$A$1:$A$4</xm:f>
          </x14:formula1>
          <xm:sqref>B27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topLeftCell="AQ1" workbookViewId="0">
      <selection activeCell="AZ2" sqref="AZ2"/>
    </sheetView>
  </sheetViews>
  <sheetFormatPr defaultRowHeight="12.75" x14ac:dyDescent="0.2"/>
  <cols>
    <col min="1" max="23" width="9.140625" style="4"/>
    <col min="24" max="24" width="9.85546875" style="4" bestFit="1" customWidth="1"/>
    <col min="25" max="16384" width="9.140625" style="4"/>
  </cols>
  <sheetData>
    <row r="1" spans="1:55" s="2" customFormat="1" ht="25.5" customHeight="1" x14ac:dyDescent="0.2">
      <c r="A1" s="50" t="s">
        <v>13</v>
      </c>
      <c r="B1" s="50" t="s">
        <v>17</v>
      </c>
      <c r="C1" s="50"/>
      <c r="D1" s="50"/>
      <c r="E1" s="50"/>
      <c r="F1" s="50" t="s">
        <v>14</v>
      </c>
      <c r="G1" s="50"/>
      <c r="H1" s="50"/>
      <c r="I1" s="50"/>
      <c r="J1" s="50"/>
      <c r="K1" s="50" t="s">
        <v>15</v>
      </c>
      <c r="L1" s="50"/>
      <c r="M1" s="50"/>
      <c r="N1" s="50"/>
      <c r="O1" s="50"/>
      <c r="P1" s="50" t="s">
        <v>16</v>
      </c>
      <c r="Q1" s="50"/>
      <c r="R1" s="50"/>
      <c r="S1" s="50"/>
      <c r="T1" s="50"/>
      <c r="U1" s="50" t="s">
        <v>74</v>
      </c>
      <c r="V1" s="50"/>
      <c r="W1" s="50"/>
      <c r="X1" s="50"/>
      <c r="Y1" s="50"/>
      <c r="Z1" s="50" t="s">
        <v>75</v>
      </c>
      <c r="AA1" s="50"/>
      <c r="AB1" s="50"/>
      <c r="AC1" s="50"/>
      <c r="AD1" s="50"/>
      <c r="AE1" s="50" t="s">
        <v>76</v>
      </c>
      <c r="AF1" s="50"/>
      <c r="AG1" s="50"/>
      <c r="AH1" s="50"/>
      <c r="AI1" s="50"/>
      <c r="AJ1" s="50" t="s">
        <v>77</v>
      </c>
      <c r="AK1" s="50"/>
      <c r="AL1" s="50"/>
      <c r="AM1" s="50"/>
      <c r="AN1" s="50"/>
      <c r="AO1" s="50" t="s">
        <v>62</v>
      </c>
      <c r="AP1" s="50"/>
      <c r="AQ1" s="50"/>
      <c r="AR1" s="50"/>
      <c r="AS1" s="50"/>
      <c r="AT1" s="50" t="s">
        <v>78</v>
      </c>
      <c r="AU1" s="50"/>
      <c r="AV1" s="50"/>
      <c r="AW1" s="50"/>
      <c r="AX1" s="50"/>
      <c r="AY1" s="50" t="s">
        <v>107</v>
      </c>
      <c r="AZ1" s="50"/>
      <c r="BA1" s="50"/>
      <c r="BB1" s="50"/>
      <c r="BC1" s="50"/>
    </row>
    <row r="2" spans="1:55" x14ac:dyDescent="0.2">
      <c r="A2" s="51" t="s">
        <v>10</v>
      </c>
      <c r="B2" s="52">
        <v>174.22</v>
      </c>
      <c r="C2" s="52"/>
      <c r="D2" s="52"/>
      <c r="E2" s="52"/>
      <c r="F2" s="52">
        <v>961.79</v>
      </c>
      <c r="G2" s="52"/>
      <c r="H2" s="52"/>
      <c r="I2" s="52"/>
      <c r="J2" s="52"/>
      <c r="K2" s="52">
        <v>107.48</v>
      </c>
      <c r="L2" s="52"/>
      <c r="M2" s="52"/>
      <c r="N2" s="52"/>
      <c r="O2" s="52"/>
      <c r="P2" s="52">
        <v>1218.8</v>
      </c>
      <c r="Q2" s="52">
        <f>IF($P5&lt;4000,0,IF($P5&lt;=20000,(a_T*$P5^(-c_T))*(1-(0/16000*($P5-4000))),(a_T*$P5^(-c_T))*(1-0)))</f>
        <v>21.287622972983787</v>
      </c>
      <c r="R2" s="52"/>
      <c r="S2" s="52"/>
      <c r="T2" s="52"/>
      <c r="U2" s="52">
        <v>1405.15</v>
      </c>
      <c r="V2" s="52">
        <v>1686.17</v>
      </c>
      <c r="W2" s="52"/>
      <c r="X2" s="52"/>
      <c r="Y2" s="52"/>
      <c r="Z2" s="52">
        <v>752.16</v>
      </c>
      <c r="AA2" s="52">
        <v>902.59</v>
      </c>
      <c r="AB2" s="52"/>
      <c r="AC2" s="52"/>
      <c r="AD2" s="52"/>
      <c r="AE2" s="52">
        <v>1812.63</v>
      </c>
      <c r="AF2" s="52"/>
      <c r="AG2" s="52"/>
      <c r="AH2" s="52"/>
      <c r="AI2" s="52"/>
      <c r="AJ2" s="52">
        <v>780.36</v>
      </c>
      <c r="AK2" s="52"/>
      <c r="AL2" s="52"/>
      <c r="AM2" s="52"/>
      <c r="AN2" s="52"/>
      <c r="AO2" s="52">
        <v>1120</v>
      </c>
      <c r="AP2" s="52"/>
      <c r="AQ2" s="52"/>
      <c r="AR2" s="52"/>
      <c r="AS2" s="52"/>
      <c r="AT2" s="52">
        <v>2253.6999999999998</v>
      </c>
      <c r="AU2" s="52"/>
      <c r="AV2" s="52"/>
      <c r="AW2" s="52"/>
      <c r="AX2" s="52"/>
      <c r="AY2" s="52">
        <v>227.01</v>
      </c>
      <c r="AZ2" s="52"/>
      <c r="BA2" s="52"/>
      <c r="BB2" s="52"/>
      <c r="BC2" s="52"/>
    </row>
    <row r="3" spans="1:55" x14ac:dyDescent="0.2">
      <c r="A3" s="51" t="s">
        <v>11</v>
      </c>
      <c r="B3" s="53">
        <v>0.20100000000000001</v>
      </c>
      <c r="C3" s="53"/>
      <c r="D3" s="53"/>
      <c r="E3" s="53"/>
      <c r="F3" s="53">
        <v>0.47699999999999998</v>
      </c>
      <c r="G3" s="53"/>
      <c r="H3" s="53"/>
      <c r="I3" s="53"/>
      <c r="J3" s="53"/>
      <c r="K3" s="53">
        <v>0.216</v>
      </c>
      <c r="L3" s="53"/>
      <c r="M3" s="53"/>
      <c r="N3" s="53"/>
      <c r="O3" s="53"/>
      <c r="P3" s="53">
        <v>0.48799999999999999</v>
      </c>
      <c r="Q3" s="53"/>
      <c r="R3" s="53"/>
      <c r="S3" s="53"/>
      <c r="T3" s="53"/>
      <c r="U3" s="53">
        <v>0.498</v>
      </c>
      <c r="V3" s="53"/>
      <c r="W3" s="53"/>
      <c r="X3" s="53"/>
      <c r="Y3" s="53"/>
      <c r="Z3" s="53">
        <v>0.38100000000000001</v>
      </c>
      <c r="AA3" s="53"/>
      <c r="AB3" s="53"/>
      <c r="AC3" s="53"/>
      <c r="AD3" s="53"/>
      <c r="AE3" s="53">
        <v>0.47099999999999997</v>
      </c>
      <c r="AF3" s="53"/>
      <c r="AG3" s="53"/>
      <c r="AH3" s="53"/>
      <c r="AI3" s="53"/>
      <c r="AJ3" s="53">
        <v>0.47099999999999997</v>
      </c>
      <c r="AK3" s="53"/>
      <c r="AL3" s="53"/>
      <c r="AM3" s="53"/>
      <c r="AN3" s="53"/>
      <c r="AO3" s="53">
        <v>0.45600000000000002</v>
      </c>
      <c r="AP3" s="53"/>
      <c r="AQ3" s="53"/>
      <c r="AR3" s="53"/>
      <c r="AS3" s="53"/>
      <c r="AT3" s="53">
        <v>0.47399999999999998</v>
      </c>
      <c r="AU3" s="53"/>
      <c r="AV3" s="53"/>
      <c r="AW3" s="53"/>
      <c r="AX3" s="53"/>
      <c r="AY3" s="53">
        <v>0.24399999999999999</v>
      </c>
      <c r="AZ3" s="53"/>
      <c r="BA3" s="53"/>
      <c r="BB3" s="53"/>
      <c r="BC3" s="53"/>
    </row>
    <row r="4" spans="1:55" x14ac:dyDescent="0.2">
      <c r="A4" s="51" t="s">
        <v>1</v>
      </c>
      <c r="B4" s="51" t="s">
        <v>12</v>
      </c>
      <c r="C4" s="51"/>
      <c r="D4" s="51"/>
      <c r="E4" s="51"/>
      <c r="F4" s="51" t="s">
        <v>1</v>
      </c>
      <c r="G4" s="51" t="s">
        <v>12</v>
      </c>
      <c r="H4" s="51"/>
      <c r="I4" s="51"/>
      <c r="J4" s="51"/>
      <c r="K4" s="51" t="s">
        <v>1</v>
      </c>
      <c r="L4" s="51" t="s">
        <v>12</v>
      </c>
      <c r="M4" s="51"/>
      <c r="N4" s="51"/>
      <c r="O4" s="51"/>
      <c r="P4" s="51" t="s">
        <v>1</v>
      </c>
      <c r="Q4" s="51" t="s">
        <v>12</v>
      </c>
      <c r="R4" s="51"/>
      <c r="S4" s="51"/>
      <c r="T4" s="51"/>
      <c r="U4" s="51" t="s">
        <v>1</v>
      </c>
      <c r="V4" s="51" t="s">
        <v>12</v>
      </c>
      <c r="W4" s="51"/>
      <c r="X4" s="51"/>
      <c r="Y4" s="51"/>
      <c r="Z4" s="51" t="s">
        <v>1</v>
      </c>
      <c r="AA4" s="51" t="s">
        <v>12</v>
      </c>
      <c r="AB4" s="51"/>
      <c r="AC4" s="51"/>
      <c r="AD4" s="51"/>
      <c r="AE4" s="51" t="s">
        <v>1</v>
      </c>
      <c r="AF4" s="51" t="s">
        <v>12</v>
      </c>
      <c r="AG4" s="51"/>
      <c r="AH4" s="51"/>
      <c r="AI4" s="51"/>
      <c r="AJ4" s="51" t="s">
        <v>1</v>
      </c>
      <c r="AK4" s="51" t="s">
        <v>12</v>
      </c>
      <c r="AL4" s="51"/>
      <c r="AM4" s="51"/>
      <c r="AN4" s="51"/>
      <c r="AO4" s="51" t="s">
        <v>1</v>
      </c>
      <c r="AP4" s="51" t="s">
        <v>12</v>
      </c>
      <c r="AQ4" s="51"/>
      <c r="AR4" s="51"/>
      <c r="AS4" s="51"/>
      <c r="AT4" s="51" t="s">
        <v>1</v>
      </c>
      <c r="AU4" s="51" t="s">
        <v>12</v>
      </c>
      <c r="AV4" s="51"/>
      <c r="AW4" s="51"/>
      <c r="AX4" s="51"/>
      <c r="AY4" s="51" t="s">
        <v>1</v>
      </c>
      <c r="AZ4" s="51" t="s">
        <v>12</v>
      </c>
      <c r="BA4" s="51"/>
      <c r="BB4" s="51"/>
      <c r="BC4" s="51"/>
    </row>
    <row r="5" spans="1:55" x14ac:dyDescent="0.2">
      <c r="A5" s="54">
        <v>1000</v>
      </c>
      <c r="B5" s="52">
        <f>B$2*$A5^(-B$3)</f>
        <v>43.460829332800145</v>
      </c>
      <c r="C5" s="52">
        <f>0.9*B5</f>
        <v>39.114746399520129</v>
      </c>
      <c r="D5" s="52">
        <f>0.8*B5</f>
        <v>34.76866346624012</v>
      </c>
      <c r="E5" s="52">
        <f>0.7*B5</f>
        <v>30.422580532960101</v>
      </c>
      <c r="F5" s="54">
        <v>100</v>
      </c>
      <c r="G5" s="52">
        <f>F$2*$F5^(-F$3)</f>
        <v>106.92524579821617</v>
      </c>
      <c r="H5" s="52">
        <f>0.9*G5</f>
        <v>96.232721218394559</v>
      </c>
      <c r="I5" s="52">
        <f>0.8*G5</f>
        <v>85.540196638572937</v>
      </c>
      <c r="J5" s="52">
        <f>0.7*G5</f>
        <v>74.847672058751314</v>
      </c>
      <c r="K5" s="54">
        <v>100</v>
      </c>
      <c r="L5" s="52">
        <f>K$2*$K5^(-K$3)</f>
        <v>39.749132762783006</v>
      </c>
      <c r="M5" s="52">
        <f>0.9*L5</f>
        <v>35.774219486504705</v>
      </c>
      <c r="N5" s="52">
        <f>0.85*L5</f>
        <v>33.786762848365555</v>
      </c>
      <c r="O5" s="52">
        <f>0.7*L5</f>
        <v>27.824392933948104</v>
      </c>
      <c r="P5" s="54">
        <v>4000</v>
      </c>
      <c r="Q5" s="52">
        <f t="shared" ref="Q5:Q51" si="0">IF($P5&lt;4000,0,IF($P5&lt;=20000,(a_T*$P5^(-c_T))*(1-(0/16000*($P5-4000))),(a_T*$P5^(-c_T))*(1-0)))</f>
        <v>21.287622972983787</v>
      </c>
      <c r="R5" s="52">
        <f t="shared" ref="R5:R51" si="1">IF($P5&lt;4000,0,IF($P5&lt;=20000,(a_T*$P5^(-c_T))*(1-(0.1/16000*($P5-4000))),(a_T*$P5^(-c_T))*(1-0.1)))</f>
        <v>21.287622972983787</v>
      </c>
      <c r="S5" s="52">
        <f t="shared" ref="S5:S51" si="2">IF($P5&lt;4000,0,IF($P5&lt;=20000,(a_T*$P5^(-c_T))*(1-(0.2/16000*($P5-4000))),(a_T*$P5^(-c_T))*(1-0.2)))</f>
        <v>21.287622972983787</v>
      </c>
      <c r="T5" s="52">
        <f t="shared" ref="T5:T51" si="3">IF($P5&lt;4000,0,IF($P5&lt;=20000,(a_T*$P5^(-c_T))*(1-(0.3/16000*($P5-4000))),(a_T*$P5^(-c_T))*(1-0.3)))</f>
        <v>21.287622972983787</v>
      </c>
      <c r="U5" s="54">
        <v>1000</v>
      </c>
      <c r="V5" s="52">
        <f>IF(OR('RoRo Cargo'!$B$29="Phase 3*",'RoRo Cargo'!$B$29="Phase 2*",'RoRo Cargo'!$B$29="Phase 1*",'RoRo Cargo'!$B$29="Phase 0*"),IF($U5&gt;=17000,a_RRC2*17000^(-c_RRC)*(1-(0/1000*($U5-1000))),IF($U5&lt;1000,0,IF($U5&lt;=2000,(a_RRC2*$U5^(-c_RRC))*(1-(0/1000*($U5-1000))),(a_RRC2*$U5^(-c_RRC))*(1-0)))),IF($U5&lt;1000,0,IF($U5&lt;=2000,(a_RRC*$U5^(-c_RRC))*(1-(0/1000*($U5-1000))),(a_RRC*$U5^(-c_RRC))*(1-0))))</f>
        <v>45.052893413288565</v>
      </c>
      <c r="W5" s="52">
        <f>IF(OR('RoRo Cargo'!$B$29="Phase 3*",'RoRo Cargo'!$B$29="Phase 2*",'RoRo Cargo'!$B$29="Phase 1*",'RoRo Cargo'!$B$29="Phase 0*"),IF($U5&gt;=17000,a_RRC2*17000^(-c_RRC)*(1-(0.05)),IF($U5&lt;1000,0,IF($U5&lt;=2000,(a_RRC2*$U5^(-c_RRC))*(1-(0.05/1000*($U5-1000))),(a_RRC2*$U5^(-c_RRC))*(1-0.05)))),IF($U5&lt;1000,0,IF($U5&lt;=2000,(a_RRC*$U5^(-c_RRC))*(1-(0.05/1000*($U5-1000))),(a_RRC*$U5^(-c_RRC))*(1-0.05))))</f>
        <v>45.052893413288565</v>
      </c>
      <c r="X5" s="52">
        <f>IF(OR('RoRo Cargo'!$B$29="Phase 3*",'RoRo Cargo'!$B$29="Phase 2*",'RoRo Cargo'!$B$29="Phase 1*",'RoRo Cargo'!$B$29="Phase 0*"),IF($U5&gt;=17000,a_RRC2*17000^(-c_RRC)*(1-(0.2)),IF($U5&lt;1000,0,IF($U5&lt;=2000,(a_RRC2*$U5^(-c_RRC))*(1-(0.2/1000*($U5-1000))),(a_RRC2*$U5^(-c_RRC))*(1-0.2)))),IF($U5&lt;1000,0,IF($U5&lt;=2000,(a_RRC*$U5^(-c_RRC))*(1-(0.2/1000*($U5-1000))),(a_RRC*$U5^(-c_RRC))*(1-0.2))))</f>
        <v>45.052893413288565</v>
      </c>
      <c r="Y5" s="52">
        <f>IF(OR('RoRo Cargo'!$B$29="Phase 3*",'RoRo Cargo'!$B$29="Phase 2*",'RoRo Cargo'!$B$29="Phase 1*",'RoRo Cargo'!$B$29="Phase 0*"),IF($U5&gt;=17000,a_RRC2*17000^(-c_RRC)*(1-(0.3)),IF($U5&lt;1000,0,IF($U5&lt;=2000,(a_RRC2*$U5^(-c_RRC))*(1-(0.3/1000*($U5-1000))),(a_RRC2*$U5^(-c_RRC))*(1-0.3)))),IF($U5&lt;1000,0,IF($U5&lt;=2000,(a_RRC*$U5^(-c_RRC))*(1-(0.3/1000*($U5-1000))),(a_RRC*$U5^(-c_RRC))*(1-0.3))))</f>
        <v>45.052893413288565</v>
      </c>
      <c r="Z5" s="54">
        <v>250</v>
      </c>
      <c r="AA5" s="52">
        <f>IF(OR(RoPax!$B$31="Phase 3*",RoPax!$B$31="Phase 2*",RoPax!$B$31="Phase 1*",RoPax!$B$31="Phase 0*"),IF($Z5&gt;=10000,a_RRP2*10000^(-c_RRP)*(1-0),IF($Z5&lt;250,0,IF($Z5&lt;=1000,(a_RRP2*$Z5^(-c_RRP))*(1-(0/750*($Z5-250))),(a_RRP2*$Z5^(-c_RRP))*(1-0)))),IF($Z5&lt;250,0,IF($Z5&lt;=1000,(a_RRP*$Z5^(-c_RRP))*(1-(0/750*($Z5-250))),(a_RRP*$Z5^(-c_RRP))*(1-0))))</f>
        <v>91.768807983294863</v>
      </c>
      <c r="AB5" s="52">
        <f>IF(OR(RoPax!$B$31="Phase 3*",RoPax!$B$31="Phase 2*",RoPax!$B$31="Phase 1*",RoPax!$B$31="Phase 0*"),IF($Z5&gt;=10000,a_RRP2*10000^(-c_RRP)*(1-0.05),IF($Z5&lt;250,0,IF($Z5&lt;=1000,(a_RRP2*$Z5^(-c_RRP))*(1-(0.05/750*($Z5-250))),(a_RRP2*$Z5^(-c_RRP))*(1-0.05)))),IF($Z5&lt;250,0,IF($Z5&lt;=1000,(a_RRP*$Z5^(-c_RRP))*(1-(0.05/750*($Z5-250))),(a_RRP*$Z5^(-c_RRP))*(1-0.05))))</f>
        <v>91.768807983294863</v>
      </c>
      <c r="AC5" s="52">
        <f>IF(OR(RoPax!$B$31="Phase 3*",RoPax!$B$31="Phase 2*",RoPax!$B$31="Phase 1*",RoPax!$B$31="Phase 0*"),IF($Z5&gt;=10000,a_RRP2*10000^(-c_RRP)*(1-0.2),IF($Z5&lt;250,0,IF($Z5&lt;=1000,(a_RRP2*$Z5^(-c_RRP))*(1-(0.2/750*($Z5-250))),(a_RRP2*$Z5^(-c_RRP))*(1-0.2)))),IF($Z5&lt;250,0,IF($Z5&lt;=1000,(a_RRP*$Z5^(-c_RRP))*(1-(0.2/750*($Z5-250))),(a_RRP*$Z5^(-c_RRP))*(1-0.2))))</f>
        <v>91.768807983294863</v>
      </c>
      <c r="AD5" s="52">
        <f>IF(OR(RoPax!$B$31="Phase 3*",RoPax!$B$31="Phase 2*",RoPax!$B$31="Phase 1*",RoPax!$B$31="Phase 0*"),IF($Z5&gt;=10000,a_RRP2*10000^(-c_RRP)*(1-0.3),IF($Z5&lt;250,0,IF($Z5&lt;=1000,(a_RRP2*$Z5^(-c_RRP))*(1-(0.3/750*($Z5-250))),(a_RRP2*$Z5^(-c_RRP))*(1-0.3)))),IF($Z5&lt;250,0,IF($Z5&lt;=1000,(a_RRP*$Z5^(-c_RRP))*(1-(0.3/750*($Z5-250))),(a_RRP*$Z5^(-c_RRP))*(1-0.3))))</f>
        <v>91.768807983294863</v>
      </c>
      <c r="AE5" s="54">
        <v>100</v>
      </c>
      <c r="AF5" s="52">
        <f>AE$2*$AE5^(-AE$3)</f>
        <v>207.16155559899843</v>
      </c>
      <c r="AG5" s="52">
        <f>0.95*AF5</f>
        <v>196.80347781904851</v>
      </c>
      <c r="AH5" s="52">
        <f>0.85*AF5</f>
        <v>176.08732225914866</v>
      </c>
      <c r="AI5" s="52">
        <f>0.7*AF5</f>
        <v>145.01308891929889</v>
      </c>
      <c r="AJ5" s="54">
        <v>100</v>
      </c>
      <c r="AK5" s="52">
        <f>AJ$2*$AJ5^(-AJ$3)</f>
        <v>89.185653733654632</v>
      </c>
      <c r="AL5" s="52">
        <f>0.95*AK5</f>
        <v>84.726371046971892</v>
      </c>
      <c r="AM5" s="52">
        <f>0.85*AK5</f>
        <v>75.807805673606438</v>
      </c>
      <c r="AN5" s="52">
        <f>0.7*AK5</f>
        <v>62.429957613558237</v>
      </c>
      <c r="AO5" s="54">
        <v>100</v>
      </c>
      <c r="AP5" s="52">
        <f>AO$2*$AO5^(-AO$3)</f>
        <v>137.15701431768542</v>
      </c>
      <c r="AQ5" s="52">
        <f>0.9*AP5</f>
        <v>123.44131288591689</v>
      </c>
      <c r="AR5" s="52">
        <f>0.8*AP5</f>
        <v>109.72561145414835</v>
      </c>
      <c r="AS5" s="52">
        <f>0.7*AP5</f>
        <v>96.009910022379785</v>
      </c>
      <c r="AT5" s="54">
        <v>100</v>
      </c>
      <c r="AU5" s="52">
        <f t="shared" ref="AU5:AU51" si="4">a_LNG*$AT5^(-c_LNG)</f>
        <v>254.03649069827472</v>
      </c>
      <c r="AV5" s="52">
        <f>0.9*AU5</f>
        <v>228.63284162844724</v>
      </c>
      <c r="AW5" s="52">
        <f>0.8*AU5</f>
        <v>203.22919255861979</v>
      </c>
      <c r="AX5" s="52">
        <f>0.7*AU5</f>
        <v>177.82554348879231</v>
      </c>
      <c r="AY5" s="54">
        <v>3000</v>
      </c>
      <c r="AZ5" s="52">
        <f t="shared" ref="AZ5:AZ44" si="5">IF($AY5&lt;3000,0,IF($AY5&lt;=5000,(a_RFS*$AY5^(-c_RFS))*(1-(0/2000*($AY5-3000))),(a_RFS*$AY5^(-c_RFS))*(1-0)))</f>
        <v>32.183065011106734</v>
      </c>
      <c r="BA5" s="52">
        <f t="shared" ref="BA5:BA44" si="6">IF($AY5&lt;3000,0,IF($AY5&lt;=5000,(a_RFS*$AY5^(-c_RFS))*(1-(0.1/2000*($AY5-3000))),(a_RFS*$AY5^(-c_RFS))*(1-0.1)))</f>
        <v>32.183065011106734</v>
      </c>
      <c r="BB5" s="52">
        <f t="shared" ref="BB5:BB44" si="7">IF($AY5&lt;3000,0,IF($AY5&lt;=5000,(a_RFS*$AY5^(-c_RFS))*(1-(0.15/2000*($AY5-3000))),(a_RFS*$AY5^(-c_RFS))*(1-0.15)))</f>
        <v>32.183065011106734</v>
      </c>
      <c r="BC5" s="52">
        <f t="shared" ref="BC5:BC44" si="8">IF($AY5&lt;3000,0,IF($AY5&lt;=5000,(a_RFS*$AY5^(-c_RFS))*(1-(0.3/2000*($AY5-3000))),(a_RFS*$AY5^(-c_RFS))*(1-0.3)))</f>
        <v>32.183065011106734</v>
      </c>
    </row>
    <row r="6" spans="1:55" x14ac:dyDescent="0.2">
      <c r="A6" s="54">
        <v>2000</v>
      </c>
      <c r="B6" s="52">
        <f t="shared" ref="B6:B32" si="9">B$2*$A6^(-B$3)</f>
        <v>37.808633424591974</v>
      </c>
      <c r="C6" s="52">
        <f t="shared" ref="C6:C32" si="10">0.9*B6</f>
        <v>34.027770082132776</v>
      </c>
      <c r="D6" s="52">
        <f t="shared" ref="D6:D32" si="11">0.8*B6</f>
        <v>30.24690673967358</v>
      </c>
      <c r="E6" s="52">
        <f t="shared" ref="E6:E32" si="12">0.7*B6</f>
        <v>26.466043397214381</v>
      </c>
      <c r="F6" s="54">
        <v>200</v>
      </c>
      <c r="G6" s="52">
        <f t="shared" ref="G6:G32" si="13">F$2*$F6^(-F$3)</f>
        <v>76.822590787153047</v>
      </c>
      <c r="H6" s="52">
        <f t="shared" ref="H6:H32" si="14">0.9*G6</f>
        <v>69.140331708437742</v>
      </c>
      <c r="I6" s="52">
        <f t="shared" ref="I6:I32" si="15">0.8*G6</f>
        <v>61.458072629722437</v>
      </c>
      <c r="J6" s="52">
        <f t="shared" ref="J6:J32" si="16">0.7*G6</f>
        <v>53.775813551007133</v>
      </c>
      <c r="K6" s="54">
        <v>200</v>
      </c>
      <c r="L6" s="52">
        <f t="shared" ref="L6:L32" si="17">K$2*$K6^(-K$3)</f>
        <v>34.221983589293373</v>
      </c>
      <c r="M6" s="52">
        <f t="shared" ref="M6:M32" si="18">0.9*L6</f>
        <v>30.799785230364037</v>
      </c>
      <c r="N6" s="52">
        <f t="shared" ref="N6:N32" si="19">0.85*L6</f>
        <v>29.088686050899366</v>
      </c>
      <c r="O6" s="52">
        <f t="shared" ref="O6:O32" si="20">0.7*L6</f>
        <v>23.955388512505358</v>
      </c>
      <c r="P6" s="54">
        <v>4250</v>
      </c>
      <c r="Q6" s="52">
        <f t="shared" si="0"/>
        <v>20.667057496008283</v>
      </c>
      <c r="R6" s="52">
        <f t="shared" si="1"/>
        <v>20.634765218670768</v>
      </c>
      <c r="S6" s="52">
        <f t="shared" si="2"/>
        <v>20.602472941333257</v>
      </c>
      <c r="T6" s="52">
        <f t="shared" si="3"/>
        <v>20.570180663995746</v>
      </c>
      <c r="U6" s="54">
        <v>1100</v>
      </c>
      <c r="V6" s="52">
        <f>IF(OR('RoRo Cargo'!$B$29="Phase 3*",'RoRo Cargo'!$B$29="Phase 2*",'RoRo Cargo'!$B$29="Phase 1*",'RoRo Cargo'!$B$29="Phase 0*"),IF($U6&gt;=17000,a_RRC2*17000^(-c_RRC)*(1-(0/1000*($U6-1000))),IF($U6&lt;1000,0,IF($U6&lt;=2000,(a_RRC2*$U6^(-c_RRC))*(1-(0/1000*($U6-1000))),(a_RRC2*$U6^(-c_RRC))*(1-0)))),IF($U6&lt;1000,0,IF($U6&lt;=2000,(a_RRC*$U6^(-c_RRC))*(1-(0/1000*($U6-1000))),(a_RRC*$U6^(-c_RRC))*(1-0))))</f>
        <v>42.96443752283988</v>
      </c>
      <c r="W6" s="52">
        <f>IF(OR('RoRo Cargo'!$B$29="Phase 3*",'RoRo Cargo'!$B$29="Phase 2*",'RoRo Cargo'!$B$29="Phase 1*",'RoRo Cargo'!$B$29="Phase 0*"),IF($U6&gt;=17000,a_RRC2*17000^(-c_RRC)*(1-(0.05)),IF($U6&lt;1000,0,IF($U6&lt;=2000,(a_RRC2*$U6^(-c_RRC))*(1-(0.05/1000*($U6-1000))),(a_RRC2*$U6^(-c_RRC))*(1-0.05)))),IF($U6&lt;1000,0,IF($U6&lt;=2000,(a_RRC*$U6^(-c_RRC))*(1-(0.05/1000*($U6-1000))),(a_RRC*$U6^(-c_RRC))*(1-0.05))))</f>
        <v>42.749615335225677</v>
      </c>
      <c r="X6" s="52">
        <f>IF(OR('RoRo Cargo'!$B$29="Phase 3*",'RoRo Cargo'!$B$29="Phase 2*",'RoRo Cargo'!$B$29="Phase 1*",'RoRo Cargo'!$B$29="Phase 0*"),IF($U6&gt;=17000,a_RRC2*17000^(-c_RRC)*(1-(0.2)),IF($U6&lt;1000,0,IF($U6&lt;=2000,(a_RRC2*$U6^(-c_RRC))*(1-(0.2/1000*($U6-1000))),(a_RRC2*$U6^(-c_RRC))*(1-0.2)))),IF($U6&lt;1000,0,IF($U6&lt;=2000,(a_RRC*$U6^(-c_RRC))*(1-(0.2/1000*($U6-1000))),(a_RRC*$U6^(-c_RRC))*(1-0.2))))</f>
        <v>42.105148772383082</v>
      </c>
      <c r="Y6" s="52">
        <f>IF(OR('RoRo Cargo'!$B$29="Phase 3*",'RoRo Cargo'!$B$29="Phase 2*",'RoRo Cargo'!$B$29="Phase 1*",'RoRo Cargo'!$B$29="Phase 0*"),IF($U6&gt;=17000,a_RRC2*17000^(-c_RRC)*(1-(0.3)),IF($U6&lt;1000,0,IF($U6&lt;=2000,(a_RRC2*$U6^(-c_RRC))*(1-(0.3/1000*($U6-1000))),(a_RRC2*$U6^(-c_RRC))*(1-0.3)))),IF($U6&lt;1000,0,IF($U6&lt;=2000,(a_RRC*$U6^(-c_RRC))*(1-(0.3/1000*($U6-1000))),(a_RRC*$U6^(-c_RRC))*(1-0.3))))</f>
        <v>41.675504397154683</v>
      </c>
      <c r="Z6" s="54">
        <v>300</v>
      </c>
      <c r="AA6" s="52">
        <f>IF(OR(RoPax!$B$31="Phase 3*",RoPax!$B$31="Phase 2*",RoPax!$B$31="Phase 1*",RoPax!$B$31="Phase 0*"),IF($Z6&gt;=10000,a_RRP2*10000^(-c_RRP)*(1-0),IF($Z6&lt;250,0,IF($Z6&lt;=1000,(a_RRP2*$Z6^(-c_RRP))*(1-(0/750*($Z6-250))),(a_RRP2*$Z6^(-c_RRP))*(1-0)))),IF($Z6&lt;250,0,IF($Z6&lt;=1000,(a_RRP*$Z6^(-c_RRP))*(1-(0/750*($Z6-250))),(a_RRP*$Z6^(-c_RRP))*(1-0))))</f>
        <v>85.610500449906098</v>
      </c>
      <c r="AB6" s="52">
        <f>IF(OR(RoPax!$B$31="Phase 3*",RoPax!$B$31="Phase 2*",RoPax!$B$31="Phase 1*",RoPax!$B$31="Phase 0*"),IF($Z6&gt;=10000,a_RRP2*10000^(-c_RRP)*(1-0.05),IF($Z6&lt;250,0,IF($Z6&lt;=1000,(a_RRP2*$Z6^(-c_RRP))*(1-(0.05/750*($Z6-250))),(a_RRP2*$Z6^(-c_RRP))*(1-0.05)))),IF($Z6&lt;250,0,IF($Z6&lt;=1000,(a_RRP*$Z6^(-c_RRP))*(1-(0.05/750*($Z6-250))),(a_RRP*$Z6^(-c_RRP))*(1-0.05))))</f>
        <v>85.325132115073075</v>
      </c>
      <c r="AC6" s="52">
        <f>IF(OR(RoPax!$B$31="Phase 3*",RoPax!$B$31="Phase 2*",RoPax!$B$31="Phase 1*",RoPax!$B$31="Phase 0*"),IF($Z6&gt;=10000,a_RRP2*10000^(-c_RRP)*(1-0.2),IF($Z6&lt;250,0,IF($Z6&lt;=1000,(a_RRP2*$Z6^(-c_RRP))*(1-(0.2/750*($Z6-250))),(a_RRP2*$Z6^(-c_RRP))*(1-0.2)))),IF($Z6&lt;250,0,IF($Z6&lt;=1000,(a_RRP*$Z6^(-c_RRP))*(1-(0.2/750*($Z6-250))),(a_RRP*$Z6^(-c_RRP))*(1-0.2))))</f>
        <v>84.469027110574018</v>
      </c>
      <c r="AD6" s="52">
        <f>IF(OR(RoPax!$B$31="Phase 3*",RoPax!$B$31="Phase 2*",RoPax!$B$31="Phase 1*",RoPax!$B$31="Phase 0*"),IF($Z6&gt;=10000,a_RRP2*10000^(-c_RRP)*(1-0.3),IF($Z6&lt;250,0,IF($Z6&lt;=1000,(a_RRP2*$Z6^(-c_RRP))*(1-(0.3/750*($Z6-250))),(a_RRP2*$Z6^(-c_RRP))*(1-0.3)))),IF($Z6&lt;250,0,IF($Z6&lt;=1000,(a_RRP*$Z6^(-c_RRP))*(1-(0.3/750*($Z6-250))),(a_RRP*$Z6^(-c_RRP))*(1-0.3))))</f>
        <v>83.898290440907971</v>
      </c>
      <c r="AE6" s="54">
        <v>200</v>
      </c>
      <c r="AF6" s="52">
        <f t="shared" ref="AF6:AF51" si="21">AE$2*$AE6^(-AE$3)</f>
        <v>149.45967569433756</v>
      </c>
      <c r="AG6" s="52">
        <f t="shared" ref="AG6:AG51" si="22">0.95*AF6</f>
        <v>141.98669190962067</v>
      </c>
      <c r="AH6" s="52">
        <f t="shared" ref="AH6:AH51" si="23">0.85*AF6</f>
        <v>127.04072434018693</v>
      </c>
      <c r="AI6" s="52">
        <f t="shared" ref="AI6:AI32" si="24">0.7*AF6</f>
        <v>104.62177298603629</v>
      </c>
      <c r="AJ6" s="54">
        <v>200</v>
      </c>
      <c r="AK6" s="52">
        <f t="shared" ref="AK6:AK51" si="25">AJ$2*$AJ6^(-AJ$3)</f>
        <v>64.344269114399097</v>
      </c>
      <c r="AL6" s="52">
        <f t="shared" ref="AL6:AL51" si="26">0.95*AK6</f>
        <v>61.12705565867914</v>
      </c>
      <c r="AM6" s="52">
        <f t="shared" ref="AM6:AM51" si="27">0.85*AK6</f>
        <v>54.692628747239233</v>
      </c>
      <c r="AN6" s="52">
        <f t="shared" ref="AN6:AN32" si="28">0.7*AK6</f>
        <v>45.040988380079362</v>
      </c>
      <c r="AO6" s="54">
        <v>200</v>
      </c>
      <c r="AP6" s="52">
        <f t="shared" ref="AP6:AP51" si="29">AO$2*$AO6^(-AO$3)</f>
        <v>99.988106622832618</v>
      </c>
      <c r="AQ6" s="52">
        <f t="shared" ref="AQ6:AQ32" si="30">0.9*AP6</f>
        <v>89.989295960549356</v>
      </c>
      <c r="AR6" s="52">
        <f t="shared" ref="AR6:AR32" si="31">0.8*AP6</f>
        <v>79.990485298266094</v>
      </c>
      <c r="AS6" s="52">
        <f t="shared" ref="AS6:AS32" si="32">0.7*AP6</f>
        <v>69.991674635982832</v>
      </c>
      <c r="AT6" s="54">
        <v>200</v>
      </c>
      <c r="AU6" s="52">
        <f t="shared" si="4"/>
        <v>182.89754950100527</v>
      </c>
      <c r="AV6" s="52">
        <f t="shared" ref="AV6:AV32" si="33">0.9*AU6</f>
        <v>164.60779455090474</v>
      </c>
      <c r="AW6" s="52">
        <f t="shared" ref="AW6:AW32" si="34">0.8*AU6</f>
        <v>146.31803960080421</v>
      </c>
      <c r="AX6" s="52">
        <f t="shared" ref="AX6:AX32" si="35">0.7*AU6</f>
        <v>128.02828465070368</v>
      </c>
      <c r="AY6" s="54">
        <v>4000</v>
      </c>
      <c r="AZ6" s="52">
        <f t="shared" si="5"/>
        <v>30.001457301218998</v>
      </c>
      <c r="BA6" s="52">
        <f t="shared" si="6"/>
        <v>28.501384436158048</v>
      </c>
      <c r="BB6" s="52">
        <f t="shared" si="7"/>
        <v>27.751348003627577</v>
      </c>
      <c r="BC6" s="52">
        <f t="shared" si="8"/>
        <v>25.501238706036148</v>
      </c>
    </row>
    <row r="7" spans="1:55" x14ac:dyDescent="0.2">
      <c r="A7" s="54">
        <v>3000</v>
      </c>
      <c r="B7" s="52">
        <f t="shared" si="9"/>
        <v>34.849506879003812</v>
      </c>
      <c r="C7" s="52">
        <f t="shared" si="10"/>
        <v>31.364556191103432</v>
      </c>
      <c r="D7" s="52">
        <f t="shared" si="11"/>
        <v>27.879605503203052</v>
      </c>
      <c r="E7" s="52">
        <f t="shared" si="12"/>
        <v>24.394654815302665</v>
      </c>
      <c r="F7" s="54">
        <v>500</v>
      </c>
      <c r="G7" s="52">
        <f t="shared" si="13"/>
        <v>49.621691594804055</v>
      </c>
      <c r="H7" s="52">
        <f t="shared" si="14"/>
        <v>44.659522435323652</v>
      </c>
      <c r="I7" s="52">
        <f t="shared" si="15"/>
        <v>39.697353275843248</v>
      </c>
      <c r="J7" s="52">
        <f t="shared" si="16"/>
        <v>34.735184116362838</v>
      </c>
      <c r="K7" s="54">
        <v>500</v>
      </c>
      <c r="L7" s="52">
        <f t="shared" si="17"/>
        <v>28.076963461875735</v>
      </c>
      <c r="M7" s="52">
        <f t="shared" si="18"/>
        <v>25.269267115688162</v>
      </c>
      <c r="N7" s="52">
        <f t="shared" si="19"/>
        <v>23.865418942594374</v>
      </c>
      <c r="O7" s="52">
        <f t="shared" si="20"/>
        <v>19.653874423313013</v>
      </c>
      <c r="P7" s="54">
        <v>4500</v>
      </c>
      <c r="Q7" s="52">
        <f t="shared" si="0"/>
        <v>20.098550566418687</v>
      </c>
      <c r="R7" s="52">
        <f t="shared" si="1"/>
        <v>20.035742595898629</v>
      </c>
      <c r="S7" s="52">
        <f t="shared" si="2"/>
        <v>19.972934625378571</v>
      </c>
      <c r="T7" s="52">
        <f t="shared" si="3"/>
        <v>19.910126654858512</v>
      </c>
      <c r="U7" s="54">
        <v>1200</v>
      </c>
      <c r="V7" s="52">
        <f>IF(OR('RoRo Cargo'!$B$29="Phase 3*",'RoRo Cargo'!$B$29="Phase 2*",'RoRo Cargo'!$B$29="Phase 1*",'RoRo Cargo'!$B$29="Phase 0*"),IF($U7&gt;=17000,a_RRC2*17000^(-c_RRC)*(1-(0/1000*($U7-1000))),IF($U7&lt;1000,0,IF($U7&lt;=2000,(a_RRC2*$U7^(-c_RRC))*(1-(0/1000*($U7-1000))),(a_RRC2*$U7^(-c_RRC))*(1-0)))),IF($U7&lt;1000,0,IF($U7&lt;=2000,(a_RRC*$U7^(-c_RRC))*(1-(0/1000*($U7-1000))),(a_RRC*$U7^(-c_RRC))*(1-0))))</f>
        <v>41.142476257952815</v>
      </c>
      <c r="W7" s="52">
        <f>IF(OR('RoRo Cargo'!$B$29="Phase 3*",'RoRo Cargo'!$B$29="Phase 2*",'RoRo Cargo'!$B$29="Phase 1*",'RoRo Cargo'!$B$29="Phase 0*"),IF($U7&gt;=17000,a_RRC2*17000^(-c_RRC)*(1-(0.05)),IF($U7&lt;1000,0,IF($U7&lt;=2000,(a_RRC2*$U7^(-c_RRC))*(1-(0.05/1000*($U7-1000))),(a_RRC2*$U7^(-c_RRC))*(1-0.05)))),IF($U7&lt;1000,0,IF($U7&lt;=2000,(a_RRC*$U7^(-c_RRC))*(1-(0.05/1000*($U7-1000))),(a_RRC*$U7^(-c_RRC))*(1-0.05))))</f>
        <v>40.731051495373286</v>
      </c>
      <c r="X7" s="52">
        <f>IF(OR('RoRo Cargo'!$B$29="Phase 3*",'RoRo Cargo'!$B$29="Phase 2*",'RoRo Cargo'!$B$29="Phase 1*",'RoRo Cargo'!$B$29="Phase 0*"),IF($U7&gt;=17000,a_RRC2*17000^(-c_RRC)*(1-(0.2)),IF($U7&lt;1000,0,IF($U7&lt;=2000,(a_RRC2*$U7^(-c_RRC))*(1-(0.2/1000*($U7-1000))),(a_RRC2*$U7^(-c_RRC))*(1-0.2)))),IF($U7&lt;1000,0,IF($U7&lt;=2000,(a_RRC*$U7^(-c_RRC))*(1-(0.2/1000*($U7-1000))),(a_RRC*$U7^(-c_RRC))*(1-0.2))))</f>
        <v>39.4967772076347</v>
      </c>
      <c r="Y7" s="52">
        <f>IF(OR('RoRo Cargo'!$B$29="Phase 3*",'RoRo Cargo'!$B$29="Phase 2*",'RoRo Cargo'!$B$29="Phase 1*",'RoRo Cargo'!$B$29="Phase 0*"),IF($U7&gt;=17000,a_RRC2*17000^(-c_RRC)*(1-(0.3)),IF($U7&lt;1000,0,IF($U7&lt;=2000,(a_RRC2*$U7^(-c_RRC))*(1-(0.3/1000*($U7-1000))),(a_RRC2*$U7^(-c_RRC))*(1-0.3)))),IF($U7&lt;1000,0,IF($U7&lt;=2000,(a_RRC*$U7^(-c_RRC))*(1-(0.3/1000*($U7-1000))),(a_RRC*$U7^(-c_RRC))*(1-0.3))))</f>
        <v>38.673927682475643</v>
      </c>
      <c r="Z7" s="54">
        <v>500</v>
      </c>
      <c r="AA7" s="52">
        <f>IF(OR(RoPax!$B$31="Phase 3*",RoPax!$B$31="Phase 2*",RoPax!$B$31="Phase 1*",RoPax!$B$31="Phase 0*"),IF($Z7&gt;=10000,a_RRP2*10000^(-c_RRP)*(1-0),IF($Z7&lt;250,0,IF($Z7&lt;=1000,(a_RRP2*$Z7^(-c_RRP))*(1-(0/750*($Z7-250))),(a_RRP2*$Z7^(-c_RRP))*(1-0)))),IF($Z7&lt;250,0,IF($Z7&lt;=1000,(a_RRP*$Z7^(-c_RRP))*(1-(0/750*($Z7-250))),(a_RRP*$Z7^(-c_RRP))*(1-0))))</f>
        <v>70.469738869532094</v>
      </c>
      <c r="AB7" s="52">
        <f>IF(OR(RoPax!$B$31="Phase 3*",RoPax!$B$31="Phase 2*",RoPax!$B$31="Phase 1*",RoPax!$B$31="Phase 0*"),IF($Z7&gt;=10000,a_RRP2*10000^(-c_RRP)*(1-0.05),IF($Z7&lt;250,0,IF($Z7&lt;=1000,(a_RRP2*$Z7^(-c_RRP))*(1-(0.05/750*($Z7-250))),(a_RRP2*$Z7^(-c_RRP))*(1-0.05)))),IF($Z7&lt;250,0,IF($Z7&lt;=1000,(a_RRP*$Z7^(-c_RRP))*(1-(0.05/750*($Z7-250))),(a_RRP*$Z7^(-c_RRP))*(1-0.05))))</f>
        <v>69.295243221706556</v>
      </c>
      <c r="AC7" s="52">
        <f>IF(OR(RoPax!$B$31="Phase 3*",RoPax!$B$31="Phase 2*",RoPax!$B$31="Phase 1*",RoPax!$B$31="Phase 0*"),IF($Z7&gt;=10000,a_RRP2*10000^(-c_RRP)*(1-0.2),IF($Z7&lt;250,0,IF($Z7&lt;=1000,(a_RRP2*$Z7^(-c_RRP))*(1-(0.2/750*($Z7-250))),(a_RRP2*$Z7^(-c_RRP))*(1-0.2)))),IF($Z7&lt;250,0,IF($Z7&lt;=1000,(a_RRP*$Z7^(-c_RRP))*(1-(0.2/750*($Z7-250))),(a_RRP*$Z7^(-c_RRP))*(1-0.2))))</f>
        <v>65.771756278229958</v>
      </c>
      <c r="AD7" s="52">
        <f>IF(OR(RoPax!$B$31="Phase 3*",RoPax!$B$31="Phase 2*",RoPax!$B$31="Phase 1*",RoPax!$B$31="Phase 0*"),IF($Z7&gt;=10000,a_RRP2*10000^(-c_RRP)*(1-0.3),IF($Z7&lt;250,0,IF($Z7&lt;=1000,(a_RRP2*$Z7^(-c_RRP))*(1-(0.3/750*($Z7-250))),(a_RRP2*$Z7^(-c_RRP))*(1-0.3)))),IF($Z7&lt;250,0,IF($Z7&lt;=1000,(a_RRP*$Z7^(-c_RRP))*(1-(0.3/750*($Z7-250))),(a_RRP*$Z7^(-c_RRP))*(1-0.3))))</f>
        <v>63.422764982578883</v>
      </c>
      <c r="AE7" s="54">
        <v>500</v>
      </c>
      <c r="AF7" s="52">
        <f t="shared" si="21"/>
        <v>97.072070157640127</v>
      </c>
      <c r="AG7" s="52">
        <f t="shared" si="22"/>
        <v>92.218466649758113</v>
      </c>
      <c r="AH7" s="52">
        <f t="shared" si="23"/>
        <v>82.511259633994101</v>
      </c>
      <c r="AI7" s="52">
        <f t="shared" si="24"/>
        <v>67.950449110348089</v>
      </c>
      <c r="AJ7" s="54">
        <v>500</v>
      </c>
      <c r="AK7" s="52">
        <f t="shared" si="25"/>
        <v>41.790746411686911</v>
      </c>
      <c r="AL7" s="52">
        <f t="shared" si="26"/>
        <v>39.701209091102562</v>
      </c>
      <c r="AM7" s="52">
        <f t="shared" si="27"/>
        <v>35.522134449933873</v>
      </c>
      <c r="AN7" s="52">
        <f t="shared" si="28"/>
        <v>29.253522488180835</v>
      </c>
      <c r="AO7" s="54">
        <v>500</v>
      </c>
      <c r="AP7" s="52">
        <f t="shared" si="29"/>
        <v>65.8396783750064</v>
      </c>
      <c r="AQ7" s="52">
        <f t="shared" si="30"/>
        <v>59.255710537505763</v>
      </c>
      <c r="AR7" s="52">
        <f t="shared" si="31"/>
        <v>52.671742700005126</v>
      </c>
      <c r="AS7" s="52">
        <f t="shared" si="32"/>
        <v>46.087774862504475</v>
      </c>
      <c r="AT7" s="54">
        <v>500</v>
      </c>
      <c r="AU7" s="52">
        <f t="shared" si="4"/>
        <v>118.46343533338666</v>
      </c>
      <c r="AV7" s="52">
        <f t="shared" si="33"/>
        <v>106.61709180004799</v>
      </c>
      <c r="AW7" s="52">
        <f t="shared" si="34"/>
        <v>94.770748266709333</v>
      </c>
      <c r="AX7" s="52">
        <f t="shared" si="35"/>
        <v>82.92440473337065</v>
      </c>
      <c r="AY7" s="54">
        <v>5000</v>
      </c>
      <c r="AZ7" s="52">
        <f t="shared" si="5"/>
        <v>28.411640293100398</v>
      </c>
      <c r="BA7" s="52">
        <f t="shared" si="6"/>
        <v>25.570476263790358</v>
      </c>
      <c r="BB7" s="52">
        <f t="shared" si="7"/>
        <v>24.149894249135336</v>
      </c>
      <c r="BC7" s="52">
        <f t="shared" si="8"/>
        <v>19.888148205170278</v>
      </c>
    </row>
    <row r="8" spans="1:55" x14ac:dyDescent="0.2">
      <c r="A8" s="54">
        <v>4000</v>
      </c>
      <c r="B8" s="52">
        <f t="shared" si="9"/>
        <v>32.891520557255596</v>
      </c>
      <c r="C8" s="52">
        <f t="shared" si="10"/>
        <v>29.602368501530037</v>
      </c>
      <c r="D8" s="52">
        <f t="shared" si="11"/>
        <v>26.313216445804478</v>
      </c>
      <c r="E8" s="52">
        <f t="shared" si="12"/>
        <v>23.024064390078916</v>
      </c>
      <c r="F8" s="54">
        <v>1000</v>
      </c>
      <c r="G8" s="52">
        <f t="shared" si="13"/>
        <v>35.651701140326381</v>
      </c>
      <c r="H8" s="52">
        <f t="shared" si="14"/>
        <v>32.086531026293741</v>
      </c>
      <c r="I8" s="52">
        <f t="shared" si="15"/>
        <v>28.521360912261105</v>
      </c>
      <c r="J8" s="52">
        <f t="shared" si="16"/>
        <v>24.956190798228466</v>
      </c>
      <c r="K8" s="54">
        <v>1000</v>
      </c>
      <c r="L8" s="52">
        <f t="shared" si="17"/>
        <v>24.172838903522976</v>
      </c>
      <c r="M8" s="52">
        <f t="shared" si="18"/>
        <v>21.755555013170678</v>
      </c>
      <c r="N8" s="52">
        <f t="shared" si="19"/>
        <v>20.546913067994527</v>
      </c>
      <c r="O8" s="52">
        <f t="shared" si="20"/>
        <v>16.920987232466082</v>
      </c>
      <c r="P8" s="54">
        <v>4750</v>
      </c>
      <c r="Q8" s="52">
        <f t="shared" si="0"/>
        <v>19.575189007025248</v>
      </c>
      <c r="R8" s="52">
        <f t="shared" si="1"/>
        <v>19.483430308554819</v>
      </c>
      <c r="S8" s="52">
        <f t="shared" si="2"/>
        <v>19.391671610084387</v>
      </c>
      <c r="T8" s="52">
        <f t="shared" si="3"/>
        <v>19.299912911613955</v>
      </c>
      <c r="U8" s="54">
        <v>1300</v>
      </c>
      <c r="V8" s="52">
        <f>IF(OR('RoRo Cargo'!$B$29="Phase 3*",'RoRo Cargo'!$B$29="Phase 2*",'RoRo Cargo'!$B$29="Phase 1*",'RoRo Cargo'!$B$29="Phase 0*"),IF($U8&gt;=17000,a_RRC2*17000^(-c_RRC)*(1-(0/1000*($U8-1000))),IF($U8&lt;1000,0,IF($U8&lt;=2000,(a_RRC2*$U8^(-c_RRC))*(1-(0/1000*($U8-1000))),(a_RRC2*$U8^(-c_RRC))*(1-0)))),IF($U8&lt;1000,0,IF($U8&lt;=2000,(a_RRC*$U8^(-c_RRC))*(1-(0/1000*($U8-1000))),(a_RRC*$U8^(-c_RRC))*(1-0))))</f>
        <v>39.534741025813361</v>
      </c>
      <c r="W8" s="52">
        <f>IF(OR('RoRo Cargo'!$B$29="Phase 3*",'RoRo Cargo'!$B$29="Phase 2*",'RoRo Cargo'!$B$29="Phase 1*",'RoRo Cargo'!$B$29="Phase 0*"),IF($U8&gt;=17000,a_RRC2*17000^(-c_RRC)*(1-(0.05)),IF($U8&lt;1000,0,IF($U8&lt;=2000,(a_RRC2*$U8^(-c_RRC))*(1-(0.05/1000*($U8-1000))),(a_RRC2*$U8^(-c_RRC))*(1-0.05)))),IF($U8&lt;1000,0,IF($U8&lt;=2000,(a_RRC*$U8^(-c_RRC))*(1-(0.05/1000*($U8-1000))),(a_RRC*$U8^(-c_RRC))*(1-0.05))))</f>
        <v>38.941719910426158</v>
      </c>
      <c r="X8" s="52">
        <f>IF(OR('RoRo Cargo'!$B$29="Phase 3*",'RoRo Cargo'!$B$29="Phase 2*",'RoRo Cargo'!$B$29="Phase 1*",'RoRo Cargo'!$B$29="Phase 0*"),IF($U8&gt;=17000,a_RRC2*17000^(-c_RRC)*(1-(0.2)),IF($U8&lt;1000,0,IF($U8&lt;=2000,(a_RRC2*$U8^(-c_RRC))*(1-(0.2/1000*($U8-1000))),(a_RRC2*$U8^(-c_RRC))*(1-0.2)))),IF($U8&lt;1000,0,IF($U8&lt;=2000,(a_RRC*$U8^(-c_RRC))*(1-(0.2/1000*($U8-1000))),(a_RRC*$U8^(-c_RRC))*(1-0.2))))</f>
        <v>37.162656564264559</v>
      </c>
      <c r="Y8" s="52">
        <f>IF(OR('RoRo Cargo'!$B$29="Phase 3*",'RoRo Cargo'!$B$29="Phase 2*",'RoRo Cargo'!$B$29="Phase 1*",'RoRo Cargo'!$B$29="Phase 0*"),IF($U8&gt;=17000,a_RRC2*17000^(-c_RRC)*(1-(0.3)),IF($U8&lt;1000,0,IF($U8&lt;=2000,(a_RRC2*$U8^(-c_RRC))*(1-(0.3/1000*($U8-1000))),(a_RRC2*$U8^(-c_RRC))*(1-0.3)))),IF($U8&lt;1000,0,IF($U8&lt;=2000,(a_RRC*$U8^(-c_RRC))*(1-(0.3/1000*($U8-1000))),(a_RRC*$U8^(-c_RRC))*(1-0.3))))</f>
        <v>35.976614333490161</v>
      </c>
      <c r="Z8" s="54">
        <v>1000</v>
      </c>
      <c r="AA8" s="52">
        <f>IF(OR(RoPax!$B$31="Phase 3*",RoPax!$B$31="Phase 2*",RoPax!$B$31="Phase 1*",RoPax!$B$31="Phase 0*"),IF($Z8&gt;=10000,a_RRP2*10000^(-c_RRP)*(1-0),IF($Z8&lt;250,0,IF($Z8&lt;=1000,(a_RRP2*$Z8^(-c_RRP))*(1-(0/750*($Z8-250))),(a_RRP2*$Z8^(-c_RRP))*(1-0)))),IF($Z8&lt;250,0,IF($Z8&lt;=1000,(a_RRP*$Z8^(-c_RRP))*(1-(0/750*($Z8-250))),(a_RRP*$Z8^(-c_RRP))*(1-0))))</f>
        <v>54.114074329526254</v>
      </c>
      <c r="AB8" s="52">
        <f>IF(OR(RoPax!$B$31="Phase 3*",RoPax!$B$31="Phase 2*",RoPax!$B$31="Phase 1*",RoPax!$B$31="Phase 0*"),IF($Z8&gt;=10000,a_RRP2*10000^(-c_RRP)*(1-0.05),IF($Z8&lt;250,0,IF($Z8&lt;=1000,(a_RRP2*$Z8^(-c_RRP))*(1-(0.05/750*($Z8-250))),(a_RRP2*$Z8^(-c_RRP))*(1-0.05)))),IF($Z8&lt;250,0,IF($Z8&lt;=1000,(a_RRP*$Z8^(-c_RRP))*(1-(0.05/750*($Z8-250))),(a_RRP*$Z8^(-c_RRP))*(1-0.05))))</f>
        <v>51.408370613049939</v>
      </c>
      <c r="AC8" s="52">
        <f>IF(OR(RoPax!$B$31="Phase 3*",RoPax!$B$31="Phase 2*",RoPax!$B$31="Phase 1*",RoPax!$B$31="Phase 0*"),IF($Z8&gt;=10000,a_RRP2*10000^(-c_RRP)*(1-0.2),IF($Z8&lt;250,0,IF($Z8&lt;=1000,(a_RRP2*$Z8^(-c_RRP))*(1-(0.2/750*($Z8-250))),(a_RRP2*$Z8^(-c_RRP))*(1-0.2)))),IF($Z8&lt;250,0,IF($Z8&lt;=1000,(a_RRP*$Z8^(-c_RRP))*(1-(0.2/750*($Z8-250))),(a_RRP*$Z8^(-c_RRP))*(1-0.2))))</f>
        <v>43.291259463621003</v>
      </c>
      <c r="AD8" s="52">
        <f>IF(OR(RoPax!$B$31="Phase 3*",RoPax!$B$31="Phase 2*",RoPax!$B$31="Phase 1*",RoPax!$B$31="Phase 0*"),IF($Z8&gt;=10000,a_RRP2*10000^(-c_RRP)*(1-0.3),IF($Z8&lt;250,0,IF($Z8&lt;=1000,(a_RRP2*$Z8^(-c_RRP))*(1-(0.3/750*($Z8-250))),(a_RRP2*$Z8^(-c_RRP))*(1-0.3)))),IF($Z8&lt;250,0,IF($Z8&lt;=1000,(a_RRP*$Z8^(-c_RRP))*(1-(0.3/750*($Z8-250))),(a_RRP*$Z8^(-c_RRP))*(1-0.3))))</f>
        <v>37.879852030668374</v>
      </c>
      <c r="AE8" s="54">
        <v>1000</v>
      </c>
      <c r="AF8" s="52">
        <f t="shared" si="21"/>
        <v>70.034037361751771</v>
      </c>
      <c r="AG8" s="52">
        <f t="shared" si="22"/>
        <v>66.532335493664178</v>
      </c>
      <c r="AH8" s="52">
        <f t="shared" si="23"/>
        <v>59.528931757489005</v>
      </c>
      <c r="AI8" s="52">
        <f t="shared" si="24"/>
        <v>49.023826153226238</v>
      </c>
      <c r="AJ8" s="54">
        <v>1000</v>
      </c>
      <c r="AK8" s="52">
        <f t="shared" si="25"/>
        <v>30.150533421391355</v>
      </c>
      <c r="AL8" s="52">
        <f t="shared" si="26"/>
        <v>28.643006750321785</v>
      </c>
      <c r="AM8" s="52">
        <f t="shared" si="27"/>
        <v>25.627953408182652</v>
      </c>
      <c r="AN8" s="52">
        <f t="shared" si="28"/>
        <v>21.105373394973949</v>
      </c>
      <c r="AO8" s="54">
        <v>1000</v>
      </c>
      <c r="AP8" s="52">
        <f t="shared" si="29"/>
        <v>47.997434284513226</v>
      </c>
      <c r="AQ8" s="52">
        <f t="shared" si="30"/>
        <v>43.197690856061904</v>
      </c>
      <c r="AR8" s="52">
        <f t="shared" si="31"/>
        <v>38.397947427610582</v>
      </c>
      <c r="AS8" s="52">
        <f t="shared" si="32"/>
        <v>33.598203999159253</v>
      </c>
      <c r="AT8" s="54">
        <v>1000</v>
      </c>
      <c r="AU8" s="52">
        <f t="shared" si="4"/>
        <v>85.289605317691326</v>
      </c>
      <c r="AV8" s="52">
        <f t="shared" si="33"/>
        <v>76.760644785922196</v>
      </c>
      <c r="AW8" s="52">
        <f t="shared" si="34"/>
        <v>68.231684254153066</v>
      </c>
      <c r="AX8" s="52">
        <f t="shared" si="35"/>
        <v>59.702723722383922</v>
      </c>
      <c r="AY8" s="54">
        <v>6000</v>
      </c>
      <c r="AZ8" s="52">
        <f t="shared" si="5"/>
        <v>27.175408655395792</v>
      </c>
      <c r="BA8" s="52">
        <f t="shared" si="6"/>
        <v>24.457867789856213</v>
      </c>
      <c r="BB8" s="52">
        <f t="shared" si="7"/>
        <v>23.099097357086421</v>
      </c>
      <c r="BC8" s="52">
        <f t="shared" si="8"/>
        <v>19.022786058777054</v>
      </c>
    </row>
    <row r="9" spans="1:55" x14ac:dyDescent="0.2">
      <c r="A9" s="54">
        <v>5000</v>
      </c>
      <c r="B9" s="52">
        <f t="shared" si="9"/>
        <v>31.448869511373466</v>
      </c>
      <c r="C9" s="52">
        <f t="shared" si="10"/>
        <v>28.303982560236122</v>
      </c>
      <c r="D9" s="52">
        <f t="shared" si="11"/>
        <v>25.159095609098774</v>
      </c>
      <c r="E9" s="52">
        <f t="shared" si="12"/>
        <v>22.014208657961426</v>
      </c>
      <c r="F9" s="54">
        <v>1500</v>
      </c>
      <c r="G9" s="52">
        <f t="shared" si="13"/>
        <v>29.382228152915971</v>
      </c>
      <c r="H9" s="52">
        <f t="shared" si="14"/>
        <v>26.444005337624375</v>
      </c>
      <c r="I9" s="52">
        <f t="shared" si="15"/>
        <v>23.50578252233278</v>
      </c>
      <c r="J9" s="52">
        <f t="shared" si="16"/>
        <v>20.567559707041177</v>
      </c>
      <c r="K9" s="54">
        <v>1500</v>
      </c>
      <c r="L9" s="52">
        <f t="shared" si="17"/>
        <v>22.145829185457416</v>
      </c>
      <c r="M9" s="52">
        <f t="shared" si="18"/>
        <v>19.931246266911675</v>
      </c>
      <c r="N9" s="52">
        <f t="shared" si="19"/>
        <v>18.823954807638803</v>
      </c>
      <c r="O9" s="52">
        <f t="shared" si="20"/>
        <v>15.50208042982019</v>
      </c>
      <c r="P9" s="54">
        <v>5000</v>
      </c>
      <c r="Q9" s="52">
        <f t="shared" si="0"/>
        <v>19.09128159218676</v>
      </c>
      <c r="R9" s="52">
        <f t="shared" si="1"/>
        <v>18.971961082235595</v>
      </c>
      <c r="S9" s="52">
        <f t="shared" si="2"/>
        <v>18.852640572284425</v>
      </c>
      <c r="T9" s="52">
        <f t="shared" si="3"/>
        <v>18.733320062333259</v>
      </c>
      <c r="U9" s="54">
        <v>1500</v>
      </c>
      <c r="V9" s="52">
        <f>IF(OR('RoRo Cargo'!$B$29="Phase 3*",'RoRo Cargo'!$B$29="Phase 2*",'RoRo Cargo'!$B$29="Phase 1*",'RoRo Cargo'!$B$29="Phase 0*"),IF($U9&gt;=17000,a_RRC2*17000^(-c_RRC)*(1-(0/1000*($U9-1000))),IF($U9&lt;1000,0,IF($U9&lt;=2000,(a_RRC2*$U9^(-c_RRC))*(1-(0/1000*($U9-1000))),(a_RRC2*$U9^(-c_RRC))*(1-0)))),IF($U9&lt;1000,0,IF($U9&lt;=2000,(a_RRC*$U9^(-c_RRC))*(1-(0/1000*($U9-1000))),(a_RRC*$U9^(-c_RRC))*(1-0))))</f>
        <v>36.81537603192897</v>
      </c>
      <c r="W9" s="52">
        <f>IF(OR('RoRo Cargo'!$B$29="Phase 3*",'RoRo Cargo'!$B$29="Phase 2*",'RoRo Cargo'!$B$29="Phase 1*",'RoRo Cargo'!$B$29="Phase 0*"),IF($U9&gt;=17000,a_RRC2*17000^(-c_RRC)*(1-(0.05)),IF($U9&lt;1000,0,IF($U9&lt;=2000,(a_RRC2*$U9^(-c_RRC))*(1-(0.05/1000*($U9-1000))),(a_RRC2*$U9^(-c_RRC))*(1-0.05)))),IF($U9&lt;1000,0,IF($U9&lt;=2000,(a_RRC*$U9^(-c_RRC))*(1-(0.05/1000*($U9-1000))),(a_RRC*$U9^(-c_RRC))*(1-0.05))))</f>
        <v>35.894991631130743</v>
      </c>
      <c r="X9" s="52">
        <f>IF(OR('RoRo Cargo'!$B$29="Phase 3*",'RoRo Cargo'!$B$29="Phase 2*",'RoRo Cargo'!$B$29="Phase 1*",'RoRo Cargo'!$B$29="Phase 0*"),IF($U9&gt;=17000,a_RRC2*17000^(-c_RRC)*(1-(0.2)),IF($U9&lt;1000,0,IF($U9&lt;=2000,(a_RRC2*$U9^(-c_RRC))*(1-(0.2/1000*($U9-1000))),(a_RRC2*$U9^(-c_RRC))*(1-0.2)))),IF($U9&lt;1000,0,IF($U9&lt;=2000,(a_RRC*$U9^(-c_RRC))*(1-(0.2/1000*($U9-1000))),(a_RRC*$U9^(-c_RRC))*(1-0.2))))</f>
        <v>33.133838428736077</v>
      </c>
      <c r="Y9" s="52">
        <f>IF(OR('RoRo Cargo'!$B$29="Phase 3*",'RoRo Cargo'!$B$29="Phase 2*",'RoRo Cargo'!$B$29="Phase 1*",'RoRo Cargo'!$B$29="Phase 0*"),IF($U9&gt;=17000,a_RRC2*17000^(-c_RRC)*(1-(0.3)),IF($U9&lt;1000,0,IF($U9&lt;=2000,(a_RRC2*$U9^(-c_RRC))*(1-(0.3/1000*($U9-1000))),(a_RRC2*$U9^(-c_RRC))*(1-0.3)))),IF($U9&lt;1000,0,IF($U9&lt;=2000,(a_RRC*$U9^(-c_RRC))*(1-(0.3/1000*($U9-1000))),(a_RRC*$U9^(-c_RRC))*(1-0.3))))</f>
        <v>31.293069627139623</v>
      </c>
      <c r="Z9" s="54">
        <v>1500</v>
      </c>
      <c r="AA9" s="52">
        <f>IF(OR(RoPax!$B$31="Phase 3*",RoPax!$B$31="Phase 2*",RoPax!$B$31="Phase 1*",RoPax!$B$31="Phase 0*"),IF($Z9&gt;=10000,a_RRP2*10000^(-c_RRP)*(1-0),IF($Z9&lt;250,0,IF($Z9&lt;=1000,(a_RRP2*$Z9^(-c_RRP))*(1-(0/750*($Z9-250))),(a_RRP2*$Z9^(-c_RRP))*(1-0)))),IF($Z9&lt;250,0,IF($Z9&lt;=1000,(a_RRP*$Z9^(-c_RRP))*(1-(0/750*($Z9-250))),(a_RRP*$Z9^(-c_RRP))*(1-0))))</f>
        <v>46.368117480716904</v>
      </c>
      <c r="AB9" s="52">
        <f>IF(OR(RoPax!$B$31="Phase 3*",RoPax!$B$31="Phase 2*",RoPax!$B$31="Phase 1*",RoPax!$B$31="Phase 0*"),IF($Z9&gt;=10000,a_RRP2*10000^(-c_RRP)*(1-0.05),IF($Z9&lt;250,0,IF($Z9&lt;=1000,(a_RRP2*$Z9^(-c_RRP))*(1-(0.05/750*($Z9-250))),(a_RRP2*$Z9^(-c_RRP))*(1-0.05)))),IF($Z9&lt;250,0,IF($Z9&lt;=1000,(a_RRP*$Z9^(-c_RRP))*(1-(0.05/750*($Z9-250))),(a_RRP*$Z9^(-c_RRP))*(1-0.05))))</f>
        <v>44.049711606681058</v>
      </c>
      <c r="AC9" s="52">
        <f>IF(OR(RoPax!$B$31="Phase 3*",RoPax!$B$31="Phase 2*",RoPax!$B$31="Phase 1*",RoPax!$B$31="Phase 0*"),IF($Z9&gt;=10000,a_RRP2*10000^(-c_RRP)*(1-0.2),IF($Z9&lt;250,0,IF($Z9&lt;=1000,(a_RRP2*$Z9^(-c_RRP))*(1-(0.2/750*($Z9-250))),(a_RRP2*$Z9^(-c_RRP))*(1-0.2)))),IF($Z9&lt;250,0,IF($Z9&lt;=1000,(a_RRP*$Z9^(-c_RRP))*(1-(0.2/750*($Z9-250))),(a_RRP*$Z9^(-c_RRP))*(1-0.2))))</f>
        <v>37.094493984573525</v>
      </c>
      <c r="AD9" s="52">
        <f>IF(OR(RoPax!$B$31="Phase 3*",RoPax!$B$31="Phase 2*",RoPax!$B$31="Phase 1*",RoPax!$B$31="Phase 0*"),IF($Z9&gt;=10000,a_RRP2*10000^(-c_RRP)*(1-0.3),IF($Z9&lt;250,0,IF($Z9&lt;=1000,(a_RRP2*$Z9^(-c_RRP))*(1-(0.3/750*($Z9-250))),(a_RRP2*$Z9^(-c_RRP))*(1-0.3)))),IF($Z9&lt;250,0,IF($Z9&lt;=1000,(a_RRP*$Z9^(-c_RRP))*(1-(0.3/750*($Z9-250))),(a_RRP*$Z9^(-c_RRP))*(1-0.3))))</f>
        <v>32.457682236501832</v>
      </c>
      <c r="AE9" s="54">
        <v>1500</v>
      </c>
      <c r="AF9" s="52">
        <f t="shared" si="21"/>
        <v>57.858901042313647</v>
      </c>
      <c r="AG9" s="52">
        <f t="shared" si="22"/>
        <v>54.965955990197962</v>
      </c>
      <c r="AH9" s="52">
        <f t="shared" si="23"/>
        <v>49.180065885966599</v>
      </c>
      <c r="AI9" s="52">
        <f t="shared" si="24"/>
        <v>40.50123072961955</v>
      </c>
      <c r="AJ9" s="54">
        <v>1500</v>
      </c>
      <c r="AK9" s="52">
        <f t="shared" si="25"/>
        <v>24.908984192791621</v>
      </c>
      <c r="AL9" s="52">
        <f t="shared" si="26"/>
        <v>23.66353498315204</v>
      </c>
      <c r="AM9" s="52">
        <f t="shared" si="27"/>
        <v>21.172636563872878</v>
      </c>
      <c r="AN9" s="52">
        <f t="shared" si="28"/>
        <v>17.436288934954135</v>
      </c>
      <c r="AO9" s="54">
        <v>1500</v>
      </c>
      <c r="AP9" s="52">
        <f t="shared" si="29"/>
        <v>39.895178132199767</v>
      </c>
      <c r="AQ9" s="52">
        <f t="shared" si="30"/>
        <v>35.905660318979791</v>
      </c>
      <c r="AR9" s="52">
        <f t="shared" si="31"/>
        <v>31.916142505759815</v>
      </c>
      <c r="AS9" s="52">
        <f t="shared" si="32"/>
        <v>27.926624692539836</v>
      </c>
      <c r="AT9" s="54">
        <v>1500</v>
      </c>
      <c r="AU9" s="52">
        <f t="shared" si="4"/>
        <v>70.376691770868106</v>
      </c>
      <c r="AV9" s="52">
        <f t="shared" si="33"/>
        <v>63.339022593781294</v>
      </c>
      <c r="AW9" s="52">
        <f t="shared" si="34"/>
        <v>56.301353416694489</v>
      </c>
      <c r="AX9" s="52">
        <f t="shared" si="35"/>
        <v>49.26368423960767</v>
      </c>
      <c r="AY9" s="54">
        <v>7000</v>
      </c>
      <c r="AZ9" s="52">
        <f t="shared" si="5"/>
        <v>26.172250412954877</v>
      </c>
      <c r="BA9" s="52">
        <f t="shared" si="6"/>
        <v>23.55502537165939</v>
      </c>
      <c r="BB9" s="52">
        <f t="shared" si="7"/>
        <v>22.246412851011645</v>
      </c>
      <c r="BC9" s="52">
        <f t="shared" si="8"/>
        <v>18.320575289068412</v>
      </c>
    </row>
    <row r="10" spans="1:55" x14ac:dyDescent="0.2">
      <c r="A10" s="54">
        <v>6000</v>
      </c>
      <c r="B10" s="52">
        <f t="shared" si="9"/>
        <v>30.317236252591282</v>
      </c>
      <c r="C10" s="52">
        <f t="shared" si="10"/>
        <v>27.285512627332153</v>
      </c>
      <c r="D10" s="52">
        <f t="shared" si="11"/>
        <v>24.253789002073027</v>
      </c>
      <c r="E10" s="52">
        <f t="shared" si="12"/>
        <v>21.222065376813898</v>
      </c>
      <c r="F10" s="54">
        <v>2000</v>
      </c>
      <c r="G10" s="52">
        <f t="shared" si="13"/>
        <v>25.614680865338382</v>
      </c>
      <c r="H10" s="52">
        <f t="shared" si="14"/>
        <v>23.053212778804543</v>
      </c>
      <c r="I10" s="52">
        <f t="shared" si="15"/>
        <v>20.491744692270707</v>
      </c>
      <c r="J10" s="52">
        <f t="shared" si="16"/>
        <v>17.930276605736868</v>
      </c>
      <c r="K10" s="54">
        <v>2000</v>
      </c>
      <c r="L10" s="52">
        <f t="shared" si="17"/>
        <v>20.811586033835191</v>
      </c>
      <c r="M10" s="52">
        <f t="shared" si="18"/>
        <v>18.730427430451673</v>
      </c>
      <c r="N10" s="52">
        <f t="shared" si="19"/>
        <v>17.689848128759913</v>
      </c>
      <c r="O10" s="52">
        <f t="shared" si="20"/>
        <v>14.568110223684632</v>
      </c>
      <c r="P10" s="54">
        <v>6000</v>
      </c>
      <c r="Q10" s="52">
        <f t="shared" si="0"/>
        <v>17.466047437605837</v>
      </c>
      <c r="R10" s="52">
        <f t="shared" si="1"/>
        <v>17.247721844635766</v>
      </c>
      <c r="S10" s="52">
        <f t="shared" si="2"/>
        <v>17.029396251665691</v>
      </c>
      <c r="T10" s="52">
        <f t="shared" si="3"/>
        <v>16.81107065869562</v>
      </c>
      <c r="U10" s="54">
        <v>2000</v>
      </c>
      <c r="V10" s="52">
        <f>IF(OR('RoRo Cargo'!$B$29="Phase 3*",'RoRo Cargo'!$B$29="Phase 2*",'RoRo Cargo'!$B$29="Phase 1*",'RoRo Cargo'!$B$29="Phase 0*"),IF($U10&gt;=17000,a_RRC2*17000^(-c_RRC)*(1-(0/1000*($U10-1000))),IF($U10&lt;1000,0,IF($U10&lt;=2000,(a_RRC2*$U10^(-c_RRC))*(1-(0/1000*($U10-1000))),(a_RRC2*$U10^(-c_RRC))*(1-0)))),IF($U10&lt;1000,0,IF($U10&lt;=2000,(a_RRC*$U10^(-c_RRC))*(1-(0/1000*($U10-1000))),(a_RRC*$U10^(-c_RRC))*(1-0))))</f>
        <v>31.901400536198526</v>
      </c>
      <c r="W10" s="52">
        <f>IF(OR('RoRo Cargo'!$B$29="Phase 3*",'RoRo Cargo'!$B$29="Phase 2*",'RoRo Cargo'!$B$29="Phase 1*",'RoRo Cargo'!$B$29="Phase 0*"),IF($U10&gt;=17000,a_RRC2*17000^(-c_RRC)*(1-(0.05)),IF($U10&lt;1000,0,IF($U10&lt;=2000,(a_RRC2*$U10^(-c_RRC))*(1-(0.05/1000*($U10-1000))),(a_RRC2*$U10^(-c_RRC))*(1-0.05)))),IF($U10&lt;1000,0,IF($U10&lt;=2000,(a_RRC*$U10^(-c_RRC))*(1-(0.05/1000*($U10-1000))),(a_RRC*$U10^(-c_RRC))*(1-0.05))))</f>
        <v>30.306330509388598</v>
      </c>
      <c r="X10" s="52">
        <f>IF(OR('RoRo Cargo'!$B$29="Phase 3*",'RoRo Cargo'!$B$29="Phase 2*",'RoRo Cargo'!$B$29="Phase 1*",'RoRo Cargo'!$B$29="Phase 0*"),IF($U10&gt;=17000,a_RRC2*17000^(-c_RRC)*(1-(0.2)),IF($U10&lt;1000,0,IF($U10&lt;=2000,(a_RRC2*$U10^(-c_RRC))*(1-(0.2/1000*($U10-1000))),(a_RRC2*$U10^(-c_RRC))*(1-0.2)))),IF($U10&lt;1000,0,IF($U10&lt;=2000,(a_RRC*$U10^(-c_RRC))*(1-(0.2/1000*($U10-1000))),(a_RRC*$U10^(-c_RRC))*(1-0.2))))</f>
        <v>25.521120428958824</v>
      </c>
      <c r="Y10" s="52">
        <f>IF(OR('RoRo Cargo'!$B$29="Phase 3*",'RoRo Cargo'!$B$29="Phase 2*",'RoRo Cargo'!$B$29="Phase 1*",'RoRo Cargo'!$B$29="Phase 0*"),IF($U10&gt;=17000,a_RRC2*17000^(-c_RRC)*(1-(0.3)),IF($U10&lt;1000,0,IF($U10&lt;=2000,(a_RRC2*$U10^(-c_RRC))*(1-(0.3/1000*($U10-1000))),(a_RRC2*$U10^(-c_RRC))*(1-0.3)))),IF($U10&lt;1000,0,IF($U10&lt;=2000,(a_RRC*$U10^(-c_RRC))*(1-(0.3/1000*($U10-1000))),(a_RRC*$U10^(-c_RRC))*(1-0.3))))</f>
        <v>22.330980375338967</v>
      </c>
      <c r="Z10" s="54">
        <v>2000</v>
      </c>
      <c r="AA10" s="52">
        <f>IF(OR(RoPax!$B$31="Phase 3*",RoPax!$B$31="Phase 2*",RoPax!$B$31="Phase 1*",RoPax!$B$31="Phase 0*"),IF($Z10&gt;=10000,a_RRP2*10000^(-c_RRP)*(1-0),IF($Z10&lt;250,0,IF($Z10&lt;=1000,(a_RRP2*$Z10^(-c_RRP))*(1-(0/750*($Z10-250))),(a_RRP2*$Z10^(-c_RRP))*(1-0)))),IF($Z10&lt;250,0,IF($Z10&lt;=1000,(a_RRP*$Z10^(-c_RRP))*(1-(0/750*($Z10-250))),(a_RRP*$Z10^(-c_RRP))*(1-0))))</f>
        <v>41.554475545354556</v>
      </c>
      <c r="AB10" s="52">
        <f>IF(OR(RoPax!$B$31="Phase 3*",RoPax!$B$31="Phase 2*",RoPax!$B$31="Phase 1*",RoPax!$B$31="Phase 0*"),IF($Z10&gt;=10000,a_RRP2*10000^(-c_RRP)*(1-0.05),IF($Z10&lt;250,0,IF($Z10&lt;=1000,(a_RRP2*$Z10^(-c_RRP))*(1-(0.05/750*($Z10-250))),(a_RRP2*$Z10^(-c_RRP))*(1-0.05)))),IF($Z10&lt;250,0,IF($Z10&lt;=1000,(a_RRP*$Z10^(-c_RRP))*(1-(0.05/750*($Z10-250))),(a_RRP*$Z10^(-c_RRP))*(1-0.05))))</f>
        <v>39.476751768086828</v>
      </c>
      <c r="AC10" s="52">
        <f>IF(OR(RoPax!$B$31="Phase 3*",RoPax!$B$31="Phase 2*",RoPax!$B$31="Phase 1*",RoPax!$B$31="Phase 0*"),IF($Z10&gt;=10000,a_RRP2*10000^(-c_RRP)*(1-0.2),IF($Z10&lt;250,0,IF($Z10&lt;=1000,(a_RRP2*$Z10^(-c_RRP))*(1-(0.2/750*($Z10-250))),(a_RRP2*$Z10^(-c_RRP))*(1-0.2)))),IF($Z10&lt;250,0,IF($Z10&lt;=1000,(a_RRP*$Z10^(-c_RRP))*(1-(0.2/750*($Z10-250))),(a_RRP*$Z10^(-c_RRP))*(1-0.2))))</f>
        <v>33.243580436283644</v>
      </c>
      <c r="AD10" s="52">
        <f>IF(OR(RoPax!$B$31="Phase 3*",RoPax!$B$31="Phase 2*",RoPax!$B$31="Phase 1*",RoPax!$B$31="Phase 0*"),IF($Z10&gt;=10000,a_RRP2*10000^(-c_RRP)*(1-0.3),IF($Z10&lt;250,0,IF($Z10&lt;=1000,(a_RRP2*$Z10^(-c_RRP))*(1-(0.3/750*($Z10-250))),(a_RRP2*$Z10^(-c_RRP))*(1-0.3)))),IF($Z10&lt;250,0,IF($Z10&lt;=1000,(a_RRP*$Z10^(-c_RRP))*(1-(0.3/750*($Z10-250))),(a_RRP*$Z10^(-c_RRP))*(1-0.3))))</f>
        <v>29.088132881748187</v>
      </c>
      <c r="AE10" s="54">
        <v>2000</v>
      </c>
      <c r="AF10" s="52">
        <f t="shared" si="21"/>
        <v>50.527060783005346</v>
      </c>
      <c r="AG10" s="52">
        <f t="shared" si="22"/>
        <v>48.000707743855074</v>
      </c>
      <c r="AH10" s="52">
        <f t="shared" si="23"/>
        <v>42.948001665554543</v>
      </c>
      <c r="AI10" s="52">
        <f t="shared" si="24"/>
        <v>35.368942548103739</v>
      </c>
      <c r="AJ10" s="54">
        <v>2000</v>
      </c>
      <c r="AK10" s="52">
        <f t="shared" si="25"/>
        <v>21.752534798952929</v>
      </c>
      <c r="AL10" s="52">
        <f t="shared" si="26"/>
        <v>20.664908059005281</v>
      </c>
      <c r="AM10" s="52">
        <f t="shared" si="27"/>
        <v>18.489654579109988</v>
      </c>
      <c r="AN10" s="52">
        <f t="shared" si="28"/>
        <v>15.226774359267049</v>
      </c>
      <c r="AO10" s="54">
        <v>2000</v>
      </c>
      <c r="AP10" s="52">
        <f t="shared" si="29"/>
        <v>34.990354672976345</v>
      </c>
      <c r="AQ10" s="52">
        <f t="shared" si="30"/>
        <v>31.49131920567871</v>
      </c>
      <c r="AR10" s="52">
        <f t="shared" si="31"/>
        <v>27.992283738381076</v>
      </c>
      <c r="AS10" s="52">
        <f t="shared" si="32"/>
        <v>24.493248271083441</v>
      </c>
      <c r="AT10" s="54">
        <v>2000</v>
      </c>
      <c r="AU10" s="52">
        <f t="shared" si="4"/>
        <v>61.405586920350217</v>
      </c>
      <c r="AV10" s="52">
        <f t="shared" si="33"/>
        <v>55.265028228315195</v>
      </c>
      <c r="AW10" s="52">
        <f t="shared" si="34"/>
        <v>49.124469536280174</v>
      </c>
      <c r="AX10" s="52">
        <f t="shared" si="35"/>
        <v>42.983910844245152</v>
      </c>
      <c r="AY10" s="54">
        <v>8000</v>
      </c>
      <c r="AZ10" s="52">
        <f t="shared" si="5"/>
        <v>25.333257169156024</v>
      </c>
      <c r="BA10" s="52">
        <f t="shared" si="6"/>
        <v>22.799931452240422</v>
      </c>
      <c r="BB10" s="52">
        <f t="shared" si="7"/>
        <v>21.533268593782619</v>
      </c>
      <c r="BC10" s="52">
        <f t="shared" si="8"/>
        <v>17.733280018409214</v>
      </c>
    </row>
    <row r="11" spans="1:55" x14ac:dyDescent="0.2">
      <c r="A11" s="54">
        <v>7000</v>
      </c>
      <c r="B11" s="52">
        <f t="shared" si="9"/>
        <v>29.392281837784175</v>
      </c>
      <c r="C11" s="52">
        <f t="shared" si="10"/>
        <v>26.453053654005757</v>
      </c>
      <c r="D11" s="52">
        <f t="shared" si="11"/>
        <v>23.513825470227342</v>
      </c>
      <c r="E11" s="52">
        <f t="shared" si="12"/>
        <v>20.57459728644892</v>
      </c>
      <c r="F11" s="54">
        <v>2500</v>
      </c>
      <c r="G11" s="52">
        <f t="shared" si="13"/>
        <v>23.028352736982185</v>
      </c>
      <c r="H11" s="52">
        <f t="shared" si="14"/>
        <v>20.725517463283968</v>
      </c>
      <c r="I11" s="52">
        <f t="shared" si="15"/>
        <v>18.42268218958575</v>
      </c>
      <c r="J11" s="52">
        <f t="shared" si="16"/>
        <v>16.119846915887528</v>
      </c>
      <c r="K11" s="54">
        <v>2500</v>
      </c>
      <c r="L11" s="52">
        <f t="shared" si="17"/>
        <v>19.832278654834013</v>
      </c>
      <c r="M11" s="52">
        <f t="shared" si="18"/>
        <v>17.849050789350613</v>
      </c>
      <c r="N11" s="52">
        <f t="shared" si="19"/>
        <v>16.85743685660891</v>
      </c>
      <c r="O11" s="52">
        <f t="shared" si="20"/>
        <v>13.882595058383808</v>
      </c>
      <c r="P11" s="54">
        <v>7000</v>
      </c>
      <c r="Q11" s="52">
        <f t="shared" si="0"/>
        <v>16.200357635000792</v>
      </c>
      <c r="R11" s="52">
        <f t="shared" si="1"/>
        <v>15.896600929344526</v>
      </c>
      <c r="S11" s="52">
        <f t="shared" si="2"/>
        <v>15.592844223688262</v>
      </c>
      <c r="T11" s="52">
        <f t="shared" si="3"/>
        <v>15.289087518031996</v>
      </c>
      <c r="U11" s="54">
        <v>2500</v>
      </c>
      <c r="V11" s="52">
        <f>IF(OR('RoRo Cargo'!$B$29="Phase 3*",'RoRo Cargo'!$B$29="Phase 2*",'RoRo Cargo'!$B$29="Phase 1*",'RoRo Cargo'!$B$29="Phase 0*"),IF($U11&gt;=17000,a_RRC2*17000^(-c_RRC)*(1-(0/1000*($U11-1000))),IF($U11&lt;1000,0,IF($U11&lt;=2000,(a_RRC2*$U11^(-c_RRC))*(1-(0/1000*($U11-1000))),(a_RRC2*$U11^(-c_RRC))*(1-0)))),IF($U11&lt;1000,0,IF($U11&lt;=2000,(a_RRC*$U11^(-c_RRC))*(1-(0/1000*($U11-1000))),(a_RRC*$U11^(-c_RRC))*(1-0))))</f>
        <v>28.546217036664302</v>
      </c>
      <c r="W11" s="52">
        <f>IF(OR('RoRo Cargo'!$B$29="Phase 3*",'RoRo Cargo'!$B$29="Phase 2*",'RoRo Cargo'!$B$29="Phase 1*",'RoRo Cargo'!$B$29="Phase 0*"),IF($U11&gt;=17000,a_RRC2*17000^(-c_RRC)*(1-(0.05)),IF($U11&lt;1000,0,IF($U11&lt;=2000,(a_RRC2*$U11^(-c_RRC))*(1-(0.05/1000*($U11-1000))),(a_RRC2*$U11^(-c_RRC))*(1-0.05)))),IF($U11&lt;1000,0,IF($U11&lt;=2000,(a_RRC*$U11^(-c_RRC))*(1-(0.05/1000*($U11-1000))),(a_RRC*$U11^(-c_RRC))*(1-0.05))))</f>
        <v>27.118906184831086</v>
      </c>
      <c r="X11" s="52">
        <f>IF(OR('RoRo Cargo'!$B$29="Phase 3*",'RoRo Cargo'!$B$29="Phase 2*",'RoRo Cargo'!$B$29="Phase 1*",'RoRo Cargo'!$B$29="Phase 0*"),IF($U11&gt;=17000,a_RRC2*17000^(-c_RRC)*(1-(0.2)),IF($U11&lt;1000,0,IF($U11&lt;=2000,(a_RRC2*$U11^(-c_RRC))*(1-(0.2/1000*($U11-1000))),(a_RRC2*$U11^(-c_RRC))*(1-0.2)))),IF($U11&lt;1000,0,IF($U11&lt;=2000,(a_RRC*$U11^(-c_RRC))*(1-(0.2/1000*($U11-1000))),(a_RRC*$U11^(-c_RRC))*(1-0.2))))</f>
        <v>22.836973629331442</v>
      </c>
      <c r="Y11" s="52">
        <f>IF(OR('RoRo Cargo'!$B$29="Phase 3*",'RoRo Cargo'!$B$29="Phase 2*",'RoRo Cargo'!$B$29="Phase 1*",'RoRo Cargo'!$B$29="Phase 0*"),IF($U11&gt;=17000,a_RRC2*17000^(-c_RRC)*(1-(0.3)),IF($U11&lt;1000,0,IF($U11&lt;=2000,(a_RRC2*$U11^(-c_RRC))*(1-(0.3/1000*($U11-1000))),(a_RRC2*$U11^(-c_RRC))*(1-0.3)))),IF($U11&lt;1000,0,IF($U11&lt;=2000,(a_RRC*$U11^(-c_RRC))*(1-(0.3/1000*($U11-1000))),(a_RRC*$U11^(-c_RRC))*(1-0.3))))</f>
        <v>19.982351925665011</v>
      </c>
      <c r="Z11" s="54">
        <v>2500</v>
      </c>
      <c r="AA11" s="52">
        <f>IF(OR(RoPax!$B$31="Phase 3*",RoPax!$B$31="Phase 2*",RoPax!$B$31="Phase 1*",RoPax!$B$31="Phase 0*"),IF($Z11&gt;=10000,a_RRP2*10000^(-c_RRP)*(1-0),IF($Z11&lt;250,0,IF($Z11&lt;=1000,(a_RRP2*$Z11^(-c_RRP))*(1-(0/750*($Z11-250))),(a_RRP2*$Z11^(-c_RRP))*(1-0)))),IF($Z11&lt;250,0,IF($Z11&lt;=1000,(a_RRP*$Z11^(-c_RRP))*(1-(0/750*($Z11-250))),(a_RRP*$Z11^(-c_RRP))*(1-0))))</f>
        <v>38.167620952640867</v>
      </c>
      <c r="AB11" s="52">
        <f>IF(OR(RoPax!$B$31="Phase 3*",RoPax!$B$31="Phase 2*",RoPax!$B$31="Phase 1*",RoPax!$B$31="Phase 0*"),IF($Z11&gt;=10000,a_RRP2*10000^(-c_RRP)*(1-0.05),IF($Z11&lt;250,0,IF($Z11&lt;=1000,(a_RRP2*$Z11^(-c_RRP))*(1-(0.05/750*($Z11-250))),(a_RRP2*$Z11^(-c_RRP))*(1-0.05)))),IF($Z11&lt;250,0,IF($Z11&lt;=1000,(a_RRP*$Z11^(-c_RRP))*(1-(0.05/750*($Z11-250))),(a_RRP*$Z11^(-c_RRP))*(1-0.05))))</f>
        <v>36.259239905008819</v>
      </c>
      <c r="AC11" s="52">
        <f>IF(OR(RoPax!$B$31="Phase 3*",RoPax!$B$31="Phase 2*",RoPax!$B$31="Phase 1*",RoPax!$B$31="Phase 0*"),IF($Z11&gt;=10000,a_RRP2*10000^(-c_RRP)*(1-0.2),IF($Z11&lt;250,0,IF($Z11&lt;=1000,(a_RRP2*$Z11^(-c_RRP))*(1-(0.2/750*($Z11-250))),(a_RRP2*$Z11^(-c_RRP))*(1-0.2)))),IF($Z11&lt;250,0,IF($Z11&lt;=1000,(a_RRP*$Z11^(-c_RRP))*(1-(0.2/750*($Z11-250))),(a_RRP*$Z11^(-c_RRP))*(1-0.2))))</f>
        <v>30.534096762112696</v>
      </c>
      <c r="AD11" s="52">
        <f>IF(OR(RoPax!$B$31="Phase 3*",RoPax!$B$31="Phase 2*",RoPax!$B$31="Phase 1*",RoPax!$B$31="Phase 0*"),IF($Z11&gt;=10000,a_RRP2*10000^(-c_RRP)*(1-0.3),IF($Z11&lt;250,0,IF($Z11&lt;=1000,(a_RRP2*$Z11^(-c_RRP))*(1-(0.3/750*($Z11-250))),(a_RRP2*$Z11^(-c_RRP))*(1-0.3)))),IF($Z11&lt;250,0,IF($Z11&lt;=1000,(a_RRP*$Z11^(-c_RRP))*(1-(0.3/750*($Z11-250))),(a_RRP*$Z11^(-c_RRP))*(1-0.3))))</f>
        <v>26.717334666848604</v>
      </c>
      <c r="AE11" s="54">
        <v>2500</v>
      </c>
      <c r="AF11" s="52">
        <f t="shared" si="21"/>
        <v>45.486175161427326</v>
      </c>
      <c r="AG11" s="52">
        <f t="shared" si="22"/>
        <v>43.211866403355955</v>
      </c>
      <c r="AH11" s="52">
        <f t="shared" si="23"/>
        <v>38.663248887213228</v>
      </c>
      <c r="AI11" s="52">
        <f t="shared" si="24"/>
        <v>31.840322612999127</v>
      </c>
      <c r="AJ11" s="54">
        <v>2500</v>
      </c>
      <c r="AK11" s="52">
        <f t="shared" si="25"/>
        <v>19.582370174261392</v>
      </c>
      <c r="AL11" s="52">
        <f t="shared" si="26"/>
        <v>18.603251665548321</v>
      </c>
      <c r="AM11" s="52">
        <f t="shared" si="27"/>
        <v>16.645014648122181</v>
      </c>
      <c r="AN11" s="52">
        <f t="shared" si="28"/>
        <v>13.707659121982974</v>
      </c>
      <c r="AO11" s="54">
        <v>2500</v>
      </c>
      <c r="AP11" s="52">
        <f t="shared" si="29"/>
        <v>31.605115276742623</v>
      </c>
      <c r="AQ11" s="52">
        <f t="shared" si="30"/>
        <v>28.44460374906836</v>
      </c>
      <c r="AR11" s="52">
        <f t="shared" si="31"/>
        <v>25.284092221394101</v>
      </c>
      <c r="AS11" s="52">
        <f t="shared" si="32"/>
        <v>22.123580693719834</v>
      </c>
      <c r="AT11" s="54">
        <v>2500</v>
      </c>
      <c r="AU11" s="52">
        <f t="shared" si="4"/>
        <v>55.242400304039428</v>
      </c>
      <c r="AV11" s="52">
        <f t="shared" si="33"/>
        <v>49.718160273635483</v>
      </c>
      <c r="AW11" s="52">
        <f t="shared" si="34"/>
        <v>44.193920243231545</v>
      </c>
      <c r="AX11" s="52">
        <f t="shared" si="35"/>
        <v>38.6696802128276</v>
      </c>
      <c r="AY11" s="54">
        <v>9000</v>
      </c>
      <c r="AZ11" s="52">
        <f t="shared" si="5"/>
        <v>24.615565443141126</v>
      </c>
      <c r="BA11" s="52">
        <f t="shared" si="6"/>
        <v>22.154008898827012</v>
      </c>
      <c r="BB11" s="52">
        <f t="shared" si="7"/>
        <v>20.923230626669955</v>
      </c>
      <c r="BC11" s="52">
        <f t="shared" si="8"/>
        <v>17.230895810198788</v>
      </c>
    </row>
    <row r="12" spans="1:55" x14ac:dyDescent="0.2">
      <c r="A12" s="54">
        <v>8000</v>
      </c>
      <c r="B12" s="52">
        <f t="shared" si="9"/>
        <v>28.613891235346664</v>
      </c>
      <c r="C12" s="52">
        <f t="shared" si="10"/>
        <v>25.752502111811999</v>
      </c>
      <c r="D12" s="52">
        <f t="shared" si="11"/>
        <v>22.891112988277332</v>
      </c>
      <c r="E12" s="52">
        <f t="shared" si="12"/>
        <v>20.029723864742664</v>
      </c>
      <c r="F12" s="54">
        <v>5000</v>
      </c>
      <c r="G12" s="52">
        <f t="shared" si="13"/>
        <v>16.54518262369907</v>
      </c>
      <c r="H12" s="52">
        <f t="shared" si="14"/>
        <v>14.890664361329163</v>
      </c>
      <c r="I12" s="52">
        <f t="shared" si="15"/>
        <v>13.236146098959257</v>
      </c>
      <c r="J12" s="52">
        <f t="shared" si="16"/>
        <v>11.581627836589348</v>
      </c>
      <c r="K12" s="54">
        <v>5000</v>
      </c>
      <c r="L12" s="52">
        <f t="shared" si="17"/>
        <v>17.074584210790313</v>
      </c>
      <c r="M12" s="52">
        <f t="shared" si="18"/>
        <v>15.367125789711283</v>
      </c>
      <c r="N12" s="52">
        <f t="shared" si="19"/>
        <v>14.513396579171765</v>
      </c>
      <c r="O12" s="52">
        <f t="shared" si="20"/>
        <v>11.952208947553219</v>
      </c>
      <c r="P12" s="54">
        <v>8000</v>
      </c>
      <c r="Q12" s="52">
        <f t="shared" si="0"/>
        <v>15.178348910513284</v>
      </c>
      <c r="R12" s="52">
        <f t="shared" si="1"/>
        <v>14.798890187750452</v>
      </c>
      <c r="S12" s="52">
        <f t="shared" si="2"/>
        <v>14.419431464987619</v>
      </c>
      <c r="T12" s="52">
        <f t="shared" si="3"/>
        <v>14.039972742224789</v>
      </c>
      <c r="U12" s="54">
        <v>3000</v>
      </c>
      <c r="V12" s="52">
        <f>IF(OR('RoRo Cargo'!$B$29="Phase 3*",'RoRo Cargo'!$B$29="Phase 2*",'RoRo Cargo'!$B$29="Phase 1*",'RoRo Cargo'!$B$29="Phase 0*"),IF($U12&gt;=17000,a_RRC2*17000^(-c_RRC)*(1-(0/1000*($U12-1000))),IF($U12&lt;1000,0,IF($U12&lt;=2000,(a_RRC2*$U12^(-c_RRC))*(1-(0/1000*($U12-1000))),(a_RRC2*$U12^(-c_RRC))*(1-0)))),IF($U12&lt;1000,0,IF($U12&lt;=2000,(a_RRC*$U12^(-c_RRC))*(1-(0/1000*($U12-1000))),(a_RRC*$U12^(-c_RRC))*(1-0))))</f>
        <v>26.068515642525124</v>
      </c>
      <c r="W12" s="52">
        <f>IF(OR('RoRo Cargo'!$B$29="Phase 3*",'RoRo Cargo'!$B$29="Phase 2*",'RoRo Cargo'!$B$29="Phase 1*",'RoRo Cargo'!$B$29="Phase 0*"),IF($U12&gt;=17000,a_RRC2*17000^(-c_RRC)*(1-(0.05)),IF($U12&lt;1000,0,IF($U12&lt;=2000,(a_RRC2*$U12^(-c_RRC))*(1-(0.05/1000*($U12-1000))),(a_RRC2*$U12^(-c_RRC))*(1-0.05)))),IF($U12&lt;1000,0,IF($U12&lt;=2000,(a_RRC*$U12^(-c_RRC))*(1-(0.05/1000*($U12-1000))),(a_RRC*$U12^(-c_RRC))*(1-0.05))))</f>
        <v>24.765089860398867</v>
      </c>
      <c r="X12" s="52">
        <f>IF(OR('RoRo Cargo'!$B$29="Phase 3*",'RoRo Cargo'!$B$29="Phase 2*",'RoRo Cargo'!$B$29="Phase 1*",'RoRo Cargo'!$B$29="Phase 0*"),IF($U12&gt;=17000,a_RRC2*17000^(-c_RRC)*(1-(0.2)),IF($U12&lt;1000,0,IF($U12&lt;=2000,(a_RRC2*$U12^(-c_RRC))*(1-(0.2/1000*($U12-1000))),(a_RRC2*$U12^(-c_RRC))*(1-0.2)))),IF($U12&lt;1000,0,IF($U12&lt;=2000,(a_RRC*$U12^(-c_RRC))*(1-(0.2/1000*($U12-1000))),(a_RRC*$U12^(-c_RRC))*(1-0.2))))</f>
        <v>20.8548125140201</v>
      </c>
      <c r="Y12" s="52">
        <f>IF(OR('RoRo Cargo'!$B$29="Phase 3*",'RoRo Cargo'!$B$29="Phase 2*",'RoRo Cargo'!$B$29="Phase 1*",'RoRo Cargo'!$B$29="Phase 0*"),IF($U12&gt;=17000,a_RRC2*17000^(-c_RRC)*(1-(0.3)),IF($U12&lt;1000,0,IF($U12&lt;=2000,(a_RRC2*$U12^(-c_RRC))*(1-(0.3/1000*($U12-1000))),(a_RRC2*$U12^(-c_RRC))*(1-0.3)))),IF($U12&lt;1000,0,IF($U12&lt;=2000,(a_RRC*$U12^(-c_RRC))*(1-(0.3/1000*($U12-1000))),(a_RRC*$U12^(-c_RRC))*(1-0.3))))</f>
        <v>18.247960949767585</v>
      </c>
      <c r="Z12" s="54">
        <v>3000</v>
      </c>
      <c r="AA12" s="52">
        <f>IF(OR(RoPax!$B$31="Phase 3*",RoPax!$B$31="Phase 2*",RoPax!$B$31="Phase 1*",RoPax!$B$31="Phase 0*"),IF($Z12&gt;=10000,a_RRP2*10000^(-c_RRP)*(1-0),IF($Z12&lt;250,0,IF($Z12&lt;=1000,(a_RRP2*$Z12^(-c_RRP))*(1-(0/750*($Z12-250))),(a_RRP2*$Z12^(-c_RRP))*(1-0)))),IF($Z12&lt;250,0,IF($Z12&lt;=1000,(a_RRP*$Z12^(-c_RRP))*(1-(0/750*($Z12-250))),(a_RRP*$Z12^(-c_RRP))*(1-0))))</f>
        <v>35.606315506819215</v>
      </c>
      <c r="AB12" s="52">
        <f>IF(OR(RoPax!$B$31="Phase 3*",RoPax!$B$31="Phase 2*",RoPax!$B$31="Phase 1*",RoPax!$B$31="Phase 0*"),IF($Z12&gt;=10000,a_RRP2*10000^(-c_RRP)*(1-0.05),IF($Z12&lt;250,0,IF($Z12&lt;=1000,(a_RRP2*$Z12^(-c_RRP))*(1-(0.05/750*($Z12-250))),(a_RRP2*$Z12^(-c_RRP))*(1-0.05)))),IF($Z12&lt;250,0,IF($Z12&lt;=1000,(a_RRP*$Z12^(-c_RRP))*(1-(0.05/750*($Z12-250))),(a_RRP*$Z12^(-c_RRP))*(1-0.05))))</f>
        <v>33.825999731478255</v>
      </c>
      <c r="AC12" s="52">
        <f>IF(OR(RoPax!$B$31="Phase 3*",RoPax!$B$31="Phase 2*",RoPax!$B$31="Phase 1*",RoPax!$B$31="Phase 0*"),IF($Z12&gt;=10000,a_RRP2*10000^(-c_RRP)*(1-0.2),IF($Z12&lt;250,0,IF($Z12&lt;=1000,(a_RRP2*$Z12^(-c_RRP))*(1-(0.2/750*($Z12-250))),(a_RRP2*$Z12^(-c_RRP))*(1-0.2)))),IF($Z12&lt;250,0,IF($Z12&lt;=1000,(a_RRP*$Z12^(-c_RRP))*(1-(0.2/750*($Z12-250))),(a_RRP*$Z12^(-c_RRP))*(1-0.2))))</f>
        <v>28.485052405455374</v>
      </c>
      <c r="AD12" s="52">
        <f>IF(OR(RoPax!$B$31="Phase 3*",RoPax!$B$31="Phase 2*",RoPax!$B$31="Phase 1*",RoPax!$B$31="Phase 0*"),IF($Z12&gt;=10000,a_RRP2*10000^(-c_RRP)*(1-0.3),IF($Z12&lt;250,0,IF($Z12&lt;=1000,(a_RRP2*$Z12^(-c_RRP))*(1-(0.3/750*($Z12-250))),(a_RRP2*$Z12^(-c_RRP))*(1-0.3)))),IF($Z12&lt;250,0,IF($Z12&lt;=1000,(a_RRP*$Z12^(-c_RRP))*(1-(0.3/750*($Z12-250))),(a_RRP*$Z12^(-c_RRP))*(1-0.3))))</f>
        <v>24.924420854773448</v>
      </c>
      <c r="AE12" s="54">
        <v>3000</v>
      </c>
      <c r="AF12" s="52">
        <f t="shared" si="21"/>
        <v>41.743134052121277</v>
      </c>
      <c r="AG12" s="52">
        <f t="shared" si="22"/>
        <v>39.655977349515211</v>
      </c>
      <c r="AH12" s="52">
        <f t="shared" si="23"/>
        <v>35.481663944303087</v>
      </c>
      <c r="AI12" s="52">
        <f t="shared" si="24"/>
        <v>29.220193836484892</v>
      </c>
      <c r="AJ12" s="54">
        <v>3000</v>
      </c>
      <c r="AK12" s="52">
        <f t="shared" si="25"/>
        <v>17.97094392618094</v>
      </c>
      <c r="AL12" s="52">
        <f t="shared" si="26"/>
        <v>17.072396729871894</v>
      </c>
      <c r="AM12" s="52">
        <f t="shared" si="27"/>
        <v>15.275302337253798</v>
      </c>
      <c r="AN12" s="52">
        <f t="shared" si="28"/>
        <v>12.579660748326658</v>
      </c>
      <c r="AO12" s="54">
        <v>3000</v>
      </c>
      <c r="AP12" s="52">
        <f t="shared" si="29"/>
        <v>29.083771943152684</v>
      </c>
      <c r="AQ12" s="52">
        <f t="shared" si="30"/>
        <v>26.175394748837416</v>
      </c>
      <c r="AR12" s="52">
        <f t="shared" si="31"/>
        <v>23.267017554522148</v>
      </c>
      <c r="AS12" s="52">
        <f t="shared" si="32"/>
        <v>20.358640360206877</v>
      </c>
      <c r="AT12" s="54">
        <v>3000</v>
      </c>
      <c r="AU12" s="52">
        <f t="shared" si="4"/>
        <v>50.668801287163895</v>
      </c>
      <c r="AV12" s="52">
        <f t="shared" si="33"/>
        <v>45.601921158447503</v>
      </c>
      <c r="AW12" s="52">
        <f t="shared" si="34"/>
        <v>40.535041029731119</v>
      </c>
      <c r="AX12" s="52">
        <f t="shared" si="35"/>
        <v>35.468160901014727</v>
      </c>
      <c r="AY12" s="54">
        <v>10000</v>
      </c>
      <c r="AZ12" s="52">
        <f t="shared" si="5"/>
        <v>23.990814276659254</v>
      </c>
      <c r="BA12" s="52">
        <f t="shared" si="6"/>
        <v>21.591732848993328</v>
      </c>
      <c r="BB12" s="52">
        <f t="shared" si="7"/>
        <v>20.392192135160364</v>
      </c>
      <c r="BC12" s="52">
        <f t="shared" si="8"/>
        <v>16.793569993661478</v>
      </c>
    </row>
    <row r="13" spans="1:55" x14ac:dyDescent="0.2">
      <c r="A13" s="54">
        <v>9000</v>
      </c>
      <c r="B13" s="52">
        <f t="shared" si="9"/>
        <v>27.944430613825219</v>
      </c>
      <c r="C13" s="52">
        <f t="shared" si="10"/>
        <v>25.149987552442699</v>
      </c>
      <c r="D13" s="52">
        <f t="shared" si="11"/>
        <v>22.355544491060176</v>
      </c>
      <c r="E13" s="52">
        <f t="shared" si="12"/>
        <v>19.561101429677652</v>
      </c>
      <c r="F13" s="54">
        <v>10000</v>
      </c>
      <c r="G13" s="52">
        <f t="shared" si="13"/>
        <v>11.887218820125957</v>
      </c>
      <c r="H13" s="52">
        <f t="shared" si="14"/>
        <v>10.698496938113362</v>
      </c>
      <c r="I13" s="52">
        <f t="shared" si="15"/>
        <v>9.5097750561007661</v>
      </c>
      <c r="J13" s="52">
        <f t="shared" si="16"/>
        <v>8.3210531740881688</v>
      </c>
      <c r="K13" s="54">
        <v>7500</v>
      </c>
      <c r="L13" s="52">
        <f t="shared" si="17"/>
        <v>15.642797556962218</v>
      </c>
      <c r="M13" s="52">
        <f t="shared" si="18"/>
        <v>14.078517801265997</v>
      </c>
      <c r="N13" s="52">
        <f t="shared" si="19"/>
        <v>13.296377923417886</v>
      </c>
      <c r="O13" s="52">
        <f t="shared" si="20"/>
        <v>10.949958289873551</v>
      </c>
      <c r="P13" s="54">
        <v>9000</v>
      </c>
      <c r="Q13" s="52">
        <f t="shared" si="0"/>
        <v>14.33052499472833</v>
      </c>
      <c r="R13" s="52">
        <f t="shared" si="1"/>
        <v>13.882696088643071</v>
      </c>
      <c r="S13" s="52">
        <f t="shared" si="2"/>
        <v>13.434867182557809</v>
      </c>
      <c r="T13" s="52">
        <f t="shared" si="3"/>
        <v>12.98703827647255</v>
      </c>
      <c r="U13" s="54">
        <v>4000</v>
      </c>
      <c r="V13" s="52">
        <f>IF(OR('RoRo Cargo'!$B$29="Phase 3*",'RoRo Cargo'!$B$29="Phase 2*",'RoRo Cargo'!$B$29="Phase 1*",'RoRo Cargo'!$B$29="Phase 0*"),IF($U13&gt;=17000,a_RRC2*17000^(-c_RRC)*(1-(0/1000*($U13-1000))),IF($U13&lt;1000,0,IF($U13&lt;=2000,(a_RRC2*$U13^(-c_RRC))*(1-(0/1000*($U13-1000))),(a_RRC2*$U13^(-c_RRC))*(1-0)))),IF($U13&lt;1000,0,IF($U13&lt;=2000,(a_RRC*$U13^(-c_RRC))*(1-(0/1000*($U13-1000))),(a_RRC*$U13^(-c_RRC))*(1-0))))</f>
        <v>22.588989942004318</v>
      </c>
      <c r="W13" s="52">
        <f>IF(OR('RoRo Cargo'!$B$29="Phase 3*",'RoRo Cargo'!$B$29="Phase 2*",'RoRo Cargo'!$B$29="Phase 1*",'RoRo Cargo'!$B$29="Phase 0*"),IF($U13&gt;=17000,a_RRC2*17000^(-c_RRC)*(1-(0.05)),IF($U13&lt;1000,0,IF($U13&lt;=2000,(a_RRC2*$U13^(-c_RRC))*(1-(0.05/1000*($U13-1000))),(a_RRC2*$U13^(-c_RRC))*(1-0.05)))),IF($U13&lt;1000,0,IF($U13&lt;=2000,(a_RRC*$U13^(-c_RRC))*(1-(0.05/1000*($U13-1000))),(a_RRC*$U13^(-c_RRC))*(1-0.05))))</f>
        <v>21.4595404449041</v>
      </c>
      <c r="X13" s="52">
        <f>IF(OR('RoRo Cargo'!$B$29="Phase 3*",'RoRo Cargo'!$B$29="Phase 2*",'RoRo Cargo'!$B$29="Phase 1*",'RoRo Cargo'!$B$29="Phase 0*"),IF($U13&gt;=17000,a_RRC2*17000^(-c_RRC)*(1-(0.2)),IF($U13&lt;1000,0,IF($U13&lt;=2000,(a_RRC2*$U13^(-c_RRC))*(1-(0.2/1000*($U13-1000))),(a_RRC2*$U13^(-c_RRC))*(1-0.2)))),IF($U13&lt;1000,0,IF($U13&lt;=2000,(a_RRC*$U13^(-c_RRC))*(1-(0.2/1000*($U13-1000))),(a_RRC*$U13^(-c_RRC))*(1-0.2))))</f>
        <v>18.071191953603456</v>
      </c>
      <c r="Y13" s="52">
        <f>IF(OR('RoRo Cargo'!$B$29="Phase 3*",'RoRo Cargo'!$B$29="Phase 2*",'RoRo Cargo'!$B$29="Phase 1*",'RoRo Cargo'!$B$29="Phase 0*"),IF($U13&gt;=17000,a_RRC2*17000^(-c_RRC)*(1-(0.3)),IF($U13&lt;1000,0,IF($U13&lt;=2000,(a_RRC2*$U13^(-c_RRC))*(1-(0.3/1000*($U13-1000))),(a_RRC2*$U13^(-c_RRC))*(1-0.3)))),IF($U13&lt;1000,0,IF($U13&lt;=2000,(a_RRC*$U13^(-c_RRC))*(1-(0.3/1000*($U13-1000))),(a_RRC*$U13^(-c_RRC))*(1-0.3))))</f>
        <v>15.812292959403022</v>
      </c>
      <c r="Z13" s="54">
        <v>4000</v>
      </c>
      <c r="AA13" s="52">
        <f>IF(OR(RoPax!$B$31="Phase 3*",RoPax!$B$31="Phase 2*",RoPax!$B$31="Phase 1*",RoPax!$B$31="Phase 0*"),IF($Z13&gt;=10000,a_RRP2*10000^(-c_RRP)*(1-0),IF($Z13&lt;250,0,IF($Z13&lt;=1000,(a_RRP2*$Z13^(-c_RRP))*(1-(0/750*($Z13-250))),(a_RRP2*$Z13^(-c_RRP))*(1-0)))),IF($Z13&lt;250,0,IF($Z13&lt;=1000,(a_RRP*$Z13^(-c_RRP))*(1-(0/750*($Z13-250))),(a_RRP*$Z13^(-c_RRP))*(1-0))))</f>
        <v>31.909895147320114</v>
      </c>
      <c r="AB13" s="52">
        <f>IF(OR(RoPax!$B$31="Phase 3*",RoPax!$B$31="Phase 2*",RoPax!$B$31="Phase 1*",RoPax!$B$31="Phase 0*"),IF($Z13&gt;=10000,a_RRP2*10000^(-c_RRP)*(1-0.05),IF($Z13&lt;250,0,IF($Z13&lt;=1000,(a_RRP2*$Z13^(-c_RRP))*(1-(0.05/750*($Z13-250))),(a_RRP2*$Z13^(-c_RRP))*(1-0.05)))),IF($Z13&lt;250,0,IF($Z13&lt;=1000,(a_RRP*$Z13^(-c_RRP))*(1-(0.05/750*($Z13-250))),(a_RRP*$Z13^(-c_RRP))*(1-0.05))))</f>
        <v>30.314400389954105</v>
      </c>
      <c r="AC13" s="52">
        <f>IF(OR(RoPax!$B$31="Phase 3*",RoPax!$B$31="Phase 2*",RoPax!$B$31="Phase 1*",RoPax!$B$31="Phase 0*"),IF($Z13&gt;=10000,a_RRP2*10000^(-c_RRP)*(1-0.2),IF($Z13&lt;250,0,IF($Z13&lt;=1000,(a_RRP2*$Z13^(-c_RRP))*(1-(0.2/750*($Z13-250))),(a_RRP2*$Z13^(-c_RRP))*(1-0.2)))),IF($Z13&lt;250,0,IF($Z13&lt;=1000,(a_RRP*$Z13^(-c_RRP))*(1-(0.2/750*($Z13-250))),(a_RRP*$Z13^(-c_RRP))*(1-0.2))))</f>
        <v>25.527916117856094</v>
      </c>
      <c r="AD13" s="52">
        <f>IF(OR(RoPax!$B$31="Phase 3*",RoPax!$B$31="Phase 2*",RoPax!$B$31="Phase 1*",RoPax!$B$31="Phase 0*"),IF($Z13&gt;=10000,a_RRP2*10000^(-c_RRP)*(1-0.3),IF($Z13&lt;250,0,IF($Z13&lt;=1000,(a_RRP2*$Z13^(-c_RRP))*(1-(0.3/750*($Z13-250))),(a_RRP2*$Z13^(-c_RRP))*(1-0.3)))),IF($Z13&lt;250,0,IF($Z13&lt;=1000,(a_RRP*$Z13^(-c_RRP))*(1-(0.3/750*($Z13-250))),(a_RRP*$Z13^(-c_RRP))*(1-0.3))))</f>
        <v>22.336926603124077</v>
      </c>
      <c r="AE13" s="54">
        <v>4000</v>
      </c>
      <c r="AF13" s="52">
        <f t="shared" si="21"/>
        <v>36.45347273329979</v>
      </c>
      <c r="AG13" s="52">
        <f t="shared" si="22"/>
        <v>34.630799096634796</v>
      </c>
      <c r="AH13" s="52">
        <f t="shared" si="23"/>
        <v>30.985451823304821</v>
      </c>
      <c r="AI13" s="52">
        <f t="shared" si="24"/>
        <v>25.517430913309852</v>
      </c>
      <c r="AJ13" s="54">
        <v>4000</v>
      </c>
      <c r="AK13" s="52">
        <f t="shared" si="25"/>
        <v>15.693678236682512</v>
      </c>
      <c r="AL13" s="52">
        <f t="shared" si="26"/>
        <v>14.908994324848386</v>
      </c>
      <c r="AM13" s="52">
        <f t="shared" si="27"/>
        <v>13.339626501180135</v>
      </c>
      <c r="AN13" s="52">
        <f t="shared" si="28"/>
        <v>10.985574765677757</v>
      </c>
      <c r="AO13" s="54">
        <v>4000</v>
      </c>
      <c r="AP13" s="52">
        <f t="shared" si="29"/>
        <v>25.50813264065901</v>
      </c>
      <c r="AQ13" s="52">
        <f t="shared" si="30"/>
        <v>22.957319376593109</v>
      </c>
      <c r="AR13" s="52">
        <f t="shared" si="31"/>
        <v>20.406506112527211</v>
      </c>
      <c r="AS13" s="52">
        <f t="shared" si="32"/>
        <v>17.855692848461306</v>
      </c>
      <c r="AT13" s="54">
        <v>4000</v>
      </c>
      <c r="AU13" s="52">
        <f t="shared" si="4"/>
        <v>44.209913869194018</v>
      </c>
      <c r="AV13" s="52">
        <f t="shared" si="33"/>
        <v>39.788922482274614</v>
      </c>
      <c r="AW13" s="52">
        <f t="shared" si="34"/>
        <v>35.367931095355218</v>
      </c>
      <c r="AX13" s="52">
        <f t="shared" si="35"/>
        <v>30.94693970843581</v>
      </c>
      <c r="AY13" s="54">
        <v>11000</v>
      </c>
      <c r="AZ13" s="52">
        <f t="shared" si="5"/>
        <v>23.439328923139797</v>
      </c>
      <c r="BA13" s="52">
        <f t="shared" si="6"/>
        <v>21.095396030825817</v>
      </c>
      <c r="BB13" s="52">
        <f t="shared" si="7"/>
        <v>19.923429584668828</v>
      </c>
      <c r="BC13" s="52">
        <f t="shared" si="8"/>
        <v>16.407530246197858</v>
      </c>
    </row>
    <row r="14" spans="1:55" x14ac:dyDescent="0.2">
      <c r="A14" s="54">
        <v>10000</v>
      </c>
      <c r="B14" s="52">
        <f t="shared" si="9"/>
        <v>27.358860777099146</v>
      </c>
      <c r="C14" s="52">
        <f t="shared" si="10"/>
        <v>24.622974699389232</v>
      </c>
      <c r="D14" s="52">
        <f t="shared" si="11"/>
        <v>21.887088621679318</v>
      </c>
      <c r="E14" s="52">
        <f t="shared" si="12"/>
        <v>19.151202543969401</v>
      </c>
      <c r="F14" s="54">
        <v>20000</v>
      </c>
      <c r="G14" s="52">
        <f t="shared" si="13"/>
        <v>8.5406111550048571</v>
      </c>
      <c r="H14" s="52">
        <f t="shared" si="14"/>
        <v>7.6865500395043718</v>
      </c>
      <c r="I14" s="52">
        <f t="shared" si="15"/>
        <v>6.8324889240038864</v>
      </c>
      <c r="J14" s="52">
        <f t="shared" si="16"/>
        <v>5.9784278085033993</v>
      </c>
      <c r="K14" s="54">
        <v>10000</v>
      </c>
      <c r="L14" s="52">
        <f t="shared" si="17"/>
        <v>14.700349417504185</v>
      </c>
      <c r="M14" s="52">
        <f t="shared" si="18"/>
        <v>13.230314475753767</v>
      </c>
      <c r="N14" s="52">
        <f t="shared" si="19"/>
        <v>12.495297004878557</v>
      </c>
      <c r="O14" s="52">
        <f t="shared" si="20"/>
        <v>10.290244592252929</v>
      </c>
      <c r="P14" s="54">
        <v>10000</v>
      </c>
      <c r="Q14" s="52">
        <f t="shared" si="0"/>
        <v>13.612329263949469</v>
      </c>
      <c r="R14" s="52">
        <f t="shared" si="1"/>
        <v>13.101866916551364</v>
      </c>
      <c r="S14" s="52">
        <f t="shared" si="2"/>
        <v>12.59140456915326</v>
      </c>
      <c r="T14" s="52">
        <f t="shared" si="3"/>
        <v>12.080942221755153</v>
      </c>
      <c r="U14" s="54">
        <v>5000</v>
      </c>
      <c r="V14" s="52">
        <f>IF(OR('RoRo Cargo'!$B$29="Phase 3*",'RoRo Cargo'!$B$29="Phase 2*",'RoRo Cargo'!$B$29="Phase 1*",'RoRo Cargo'!$B$29="Phase 0*"),IF($U14&gt;=17000,a_RRC2*17000^(-c_RRC)*(1-(0/1000*($U14-1000))),IF($U14&lt;1000,0,IF($U14&lt;=2000,(a_RRC2*$U14^(-c_RRC))*(1-(0/1000*($U14-1000))),(a_RRC2*$U14^(-c_RRC))*(1-0)))),IF($U14&lt;1000,0,IF($U14&lt;=2000,(a_RRC*$U14^(-c_RRC))*(1-(0/1000*($U14-1000))),(a_RRC*$U14^(-c_RRC))*(1-0))))</f>
        <v>20.213225710632759</v>
      </c>
      <c r="W14" s="52">
        <f>IF(OR('RoRo Cargo'!$B$29="Phase 3*",'RoRo Cargo'!$B$29="Phase 2*",'RoRo Cargo'!$B$29="Phase 1*",'RoRo Cargo'!$B$29="Phase 0*"),IF($U14&gt;=17000,a_RRC2*17000^(-c_RRC)*(1-(0.05)),IF($U14&lt;1000,0,IF($U14&lt;=2000,(a_RRC2*$U14^(-c_RRC))*(1-(0.05/1000*($U14-1000))),(a_RRC2*$U14^(-c_RRC))*(1-0.05)))),IF($U14&lt;1000,0,IF($U14&lt;=2000,(a_RRC*$U14^(-c_RRC))*(1-(0.05/1000*($U14-1000))),(a_RRC*$U14^(-c_RRC))*(1-0.05))))</f>
        <v>19.202564425101119</v>
      </c>
      <c r="X14" s="52">
        <f>IF(OR('RoRo Cargo'!$B$29="Phase 3*",'RoRo Cargo'!$B$29="Phase 2*",'RoRo Cargo'!$B$29="Phase 1*",'RoRo Cargo'!$B$29="Phase 0*"),IF($U14&gt;=17000,a_RRC2*17000^(-c_RRC)*(1-(0.2)),IF($U14&lt;1000,0,IF($U14&lt;=2000,(a_RRC2*$U14^(-c_RRC))*(1-(0.2/1000*($U14-1000))),(a_RRC2*$U14^(-c_RRC))*(1-0.2)))),IF($U14&lt;1000,0,IF($U14&lt;=2000,(a_RRC*$U14^(-c_RRC))*(1-(0.2/1000*($U14-1000))),(a_RRC*$U14^(-c_RRC))*(1-0.2))))</f>
        <v>16.170580568506207</v>
      </c>
      <c r="Y14" s="52">
        <f>IF(OR('RoRo Cargo'!$B$29="Phase 3*",'RoRo Cargo'!$B$29="Phase 2*",'RoRo Cargo'!$B$29="Phase 1*",'RoRo Cargo'!$B$29="Phase 0*"),IF($U14&gt;=17000,a_RRC2*17000^(-c_RRC)*(1-(0.3)),IF($U14&lt;1000,0,IF($U14&lt;=2000,(a_RRC2*$U14^(-c_RRC))*(1-(0.3/1000*($U14-1000))),(a_RRC2*$U14^(-c_RRC))*(1-0.3)))),IF($U14&lt;1000,0,IF($U14&lt;=2000,(a_RRC*$U14^(-c_RRC))*(1-(0.3/1000*($U14-1000))),(a_RRC*$U14^(-c_RRC))*(1-0.3))))</f>
        <v>14.14925799744293</v>
      </c>
      <c r="Z14" s="54">
        <v>5000</v>
      </c>
      <c r="AA14" s="52">
        <f>IF(OR(RoPax!$B$31="Phase 3*",RoPax!$B$31="Phase 2*",RoPax!$B$31="Phase 1*",RoPax!$B$31="Phase 0*"),IF($Z14&gt;=10000,a_RRP2*10000^(-c_RRP)*(1-0),IF($Z14&lt;250,0,IF($Z14&lt;=1000,(a_RRP2*$Z14^(-c_RRP))*(1-(0/750*($Z14-250))),(a_RRP2*$Z14^(-c_RRP))*(1-0)))),IF($Z14&lt;250,0,IF($Z14&lt;=1000,(a_RRP*$Z14^(-c_RRP))*(1-(0/750*($Z14-250))),(a_RRP*$Z14^(-c_RRP))*(1-0))))</f>
        <v>29.309112114581389</v>
      </c>
      <c r="AB14" s="52">
        <f>IF(OR(RoPax!$B$31="Phase 3*",RoPax!$B$31="Phase 2*",RoPax!$B$31="Phase 1*",RoPax!$B$31="Phase 0*"),IF($Z14&gt;=10000,a_RRP2*10000^(-c_RRP)*(1-0.05),IF($Z14&lt;250,0,IF($Z14&lt;=1000,(a_RRP2*$Z14^(-c_RRP))*(1-(0.05/750*($Z14-250))),(a_RRP2*$Z14^(-c_RRP))*(1-0.05)))),IF($Z14&lt;250,0,IF($Z14&lt;=1000,(a_RRP*$Z14^(-c_RRP))*(1-(0.05/750*($Z14-250))),(a_RRP*$Z14^(-c_RRP))*(1-0.05))))</f>
        <v>27.84365650885232</v>
      </c>
      <c r="AC14" s="52">
        <f>IF(OR(RoPax!$B$31="Phase 3*",RoPax!$B$31="Phase 2*",RoPax!$B$31="Phase 1*",RoPax!$B$31="Phase 0*"),IF($Z14&gt;=10000,a_RRP2*10000^(-c_RRP)*(1-0.2),IF($Z14&lt;250,0,IF($Z14&lt;=1000,(a_RRP2*$Z14^(-c_RRP))*(1-(0.2/750*($Z14-250))),(a_RRP2*$Z14^(-c_RRP))*(1-0.2)))),IF($Z14&lt;250,0,IF($Z14&lt;=1000,(a_RRP*$Z14^(-c_RRP))*(1-(0.2/750*($Z14-250))),(a_RRP*$Z14^(-c_RRP))*(1-0.2))))</f>
        <v>23.447289691665112</v>
      </c>
      <c r="AD14" s="52">
        <f>IF(OR(RoPax!$B$31="Phase 3*",RoPax!$B$31="Phase 2*",RoPax!$B$31="Phase 1*",RoPax!$B$31="Phase 0*"),IF($Z14&gt;=10000,a_RRP2*10000^(-c_RRP)*(1-0.3),IF($Z14&lt;250,0,IF($Z14&lt;=1000,(a_RRP2*$Z14^(-c_RRP))*(1-(0.3/750*($Z14-250))),(a_RRP2*$Z14^(-c_RRP))*(1-0.3)))),IF($Z14&lt;250,0,IF($Z14&lt;=1000,(a_RRP*$Z14^(-c_RRP))*(1-(0.3/750*($Z14-250))),(a_RRP*$Z14^(-c_RRP))*(1-0.3))))</f>
        <v>20.516378480206971</v>
      </c>
      <c r="AE14" s="54">
        <v>5000</v>
      </c>
      <c r="AF14" s="52">
        <f t="shared" si="21"/>
        <v>32.816653498018141</v>
      </c>
      <c r="AG14" s="52">
        <f t="shared" si="22"/>
        <v>31.175820823117231</v>
      </c>
      <c r="AH14" s="52">
        <f t="shared" si="23"/>
        <v>27.894155473315418</v>
      </c>
      <c r="AI14" s="52">
        <f t="shared" si="24"/>
        <v>22.971657448612696</v>
      </c>
      <c r="AJ14" s="54">
        <v>5000</v>
      </c>
      <c r="AK14" s="52">
        <f t="shared" si="25"/>
        <v>14.127981840592639</v>
      </c>
      <c r="AL14" s="52">
        <f t="shared" si="26"/>
        <v>13.421582748563006</v>
      </c>
      <c r="AM14" s="52">
        <f t="shared" si="27"/>
        <v>12.008784564503744</v>
      </c>
      <c r="AN14" s="52">
        <f t="shared" si="28"/>
        <v>9.8895872884148464</v>
      </c>
      <c r="AO14" s="54">
        <v>5000</v>
      </c>
      <c r="AP14" s="52">
        <f t="shared" si="29"/>
        <v>23.040277246034933</v>
      </c>
      <c r="AQ14" s="52">
        <f t="shared" si="30"/>
        <v>20.736249521431439</v>
      </c>
      <c r="AR14" s="52">
        <f t="shared" si="31"/>
        <v>18.432221796827946</v>
      </c>
      <c r="AS14" s="52">
        <f t="shared" si="32"/>
        <v>16.128194072224453</v>
      </c>
      <c r="AT14" s="54">
        <v>5000</v>
      </c>
      <c r="AU14" s="52">
        <f t="shared" si="4"/>
        <v>39.77263115385577</v>
      </c>
      <c r="AV14" s="52">
        <f t="shared" si="33"/>
        <v>35.795368038470194</v>
      </c>
      <c r="AW14" s="52">
        <f t="shared" si="34"/>
        <v>31.818104923084618</v>
      </c>
      <c r="AX14" s="52">
        <f t="shared" si="35"/>
        <v>27.840841807699036</v>
      </c>
      <c r="AY14" s="54">
        <v>12000</v>
      </c>
      <c r="AZ14" s="52">
        <f t="shared" si="5"/>
        <v>22.946939184720133</v>
      </c>
      <c r="BA14" s="52">
        <f t="shared" si="6"/>
        <v>20.652245266248119</v>
      </c>
      <c r="BB14" s="52">
        <f t="shared" si="7"/>
        <v>19.504898307012112</v>
      </c>
      <c r="BC14" s="52">
        <f t="shared" si="8"/>
        <v>16.062857429304092</v>
      </c>
    </row>
    <row r="15" spans="1:55" x14ac:dyDescent="0.2">
      <c r="A15" s="54">
        <v>11000</v>
      </c>
      <c r="B15" s="52">
        <f t="shared" si="9"/>
        <v>26.839726109380109</v>
      </c>
      <c r="C15" s="52">
        <f t="shared" si="10"/>
        <v>24.155753498442099</v>
      </c>
      <c r="D15" s="52">
        <f t="shared" si="11"/>
        <v>21.471780887504089</v>
      </c>
      <c r="E15" s="52">
        <f t="shared" si="12"/>
        <v>18.787808276566075</v>
      </c>
      <c r="F15" s="54">
        <v>30000</v>
      </c>
      <c r="G15" s="52">
        <f t="shared" si="13"/>
        <v>7.0387156151111618</v>
      </c>
      <c r="H15" s="52">
        <f t="shared" si="14"/>
        <v>6.3348440536000457</v>
      </c>
      <c r="I15" s="52">
        <f t="shared" si="15"/>
        <v>5.6309724920889295</v>
      </c>
      <c r="J15" s="52">
        <f t="shared" si="16"/>
        <v>4.9271009305778133</v>
      </c>
      <c r="K15" s="54">
        <v>12500</v>
      </c>
      <c r="L15" s="52">
        <f t="shared" si="17"/>
        <v>14.008611621304876</v>
      </c>
      <c r="M15" s="52">
        <f t="shared" si="18"/>
        <v>12.607750459174389</v>
      </c>
      <c r="N15" s="52">
        <f t="shared" si="19"/>
        <v>11.907319878109144</v>
      </c>
      <c r="O15" s="52">
        <f t="shared" si="20"/>
        <v>9.8060281349134133</v>
      </c>
      <c r="P15" s="54">
        <v>11000</v>
      </c>
      <c r="Q15" s="52">
        <f t="shared" si="0"/>
        <v>12.993699392281178</v>
      </c>
      <c r="R15" s="52">
        <f t="shared" si="1"/>
        <v>12.425225043868876</v>
      </c>
      <c r="S15" s="52">
        <f t="shared" si="2"/>
        <v>11.856750695456574</v>
      </c>
      <c r="T15" s="52">
        <f t="shared" si="3"/>
        <v>11.288276347044274</v>
      </c>
      <c r="U15" s="54">
        <v>6000</v>
      </c>
      <c r="V15" s="52">
        <f>IF(OR('RoRo Cargo'!$B$29="Phase 3*",'RoRo Cargo'!$B$29="Phase 2*",'RoRo Cargo'!$B$29="Phase 1*",'RoRo Cargo'!$B$29="Phase 0*"),IF($U15&gt;=17000,a_RRC2*17000^(-c_RRC)*(1-(0/1000*($U15-1000))),IF($U15&lt;1000,0,IF($U15&lt;=2000,(a_RRC2*$U15^(-c_RRC))*(1-(0/1000*($U15-1000))),(a_RRC2*$U15^(-c_RRC))*(1-0)))),IF($U15&lt;1000,0,IF($U15&lt;=2000,(a_RRC*$U15^(-c_RRC))*(1-(0/1000*($U15-1000))),(a_RRC*$U15^(-c_RRC))*(1-0))))</f>
        <v>18.45879578182786</v>
      </c>
      <c r="W15" s="52">
        <f>IF(OR('RoRo Cargo'!$B$29="Phase 3*",'RoRo Cargo'!$B$29="Phase 2*",'RoRo Cargo'!$B$29="Phase 1*",'RoRo Cargo'!$B$29="Phase 0*"),IF($U15&gt;=17000,a_RRC2*17000^(-c_RRC)*(1-(0.05)),IF($U15&lt;1000,0,IF($U15&lt;=2000,(a_RRC2*$U15^(-c_RRC))*(1-(0.05/1000*($U15-1000))),(a_RRC2*$U15^(-c_RRC))*(1-0.05)))),IF($U15&lt;1000,0,IF($U15&lt;=2000,(a_RRC*$U15^(-c_RRC))*(1-(0.05/1000*($U15-1000))),(a_RRC*$U15^(-c_RRC))*(1-0.05))))</f>
        <v>17.535855992736465</v>
      </c>
      <c r="X15" s="52">
        <f>IF(OR('RoRo Cargo'!$B$29="Phase 3*",'RoRo Cargo'!$B$29="Phase 2*",'RoRo Cargo'!$B$29="Phase 1*",'RoRo Cargo'!$B$29="Phase 0*"),IF($U15&gt;=17000,a_RRC2*17000^(-c_RRC)*(1-(0.2)),IF($U15&lt;1000,0,IF($U15&lt;=2000,(a_RRC2*$U15^(-c_RRC))*(1-(0.2/1000*($U15-1000))),(a_RRC2*$U15^(-c_RRC))*(1-0.2)))),IF($U15&lt;1000,0,IF($U15&lt;=2000,(a_RRC*$U15^(-c_RRC))*(1-(0.2/1000*($U15-1000))),(a_RRC*$U15^(-c_RRC))*(1-0.2))))</f>
        <v>14.767036625462289</v>
      </c>
      <c r="Y15" s="52">
        <f>IF(OR('RoRo Cargo'!$B$29="Phase 3*",'RoRo Cargo'!$B$29="Phase 2*",'RoRo Cargo'!$B$29="Phase 1*",'RoRo Cargo'!$B$29="Phase 0*"),IF($U15&gt;=17000,a_RRC2*17000^(-c_RRC)*(1-(0.3)),IF($U15&lt;1000,0,IF($U15&lt;=2000,(a_RRC2*$U15^(-c_RRC))*(1-(0.3/1000*($U15-1000))),(a_RRC2*$U15^(-c_RRC))*(1-0.3)))),IF($U15&lt;1000,0,IF($U15&lt;=2000,(a_RRC*$U15^(-c_RRC))*(1-(0.3/1000*($U15-1000))),(a_RRC*$U15^(-c_RRC))*(1-0.3))))</f>
        <v>12.9211570472795</v>
      </c>
      <c r="Z15" s="54">
        <v>6000</v>
      </c>
      <c r="AA15" s="52">
        <f>IF(OR(RoPax!$B$31="Phase 3*",RoPax!$B$31="Phase 2*",RoPax!$B$31="Phase 1*",RoPax!$B$31="Phase 0*"),IF($Z15&gt;=10000,a_RRP2*10000^(-c_RRP)*(1-0),IF($Z15&lt;250,0,IF($Z15&lt;=1000,(a_RRP2*$Z15^(-c_RRP))*(1-(0/750*($Z15-250))),(a_RRP2*$Z15^(-c_RRP))*(1-0)))),IF($Z15&lt;250,0,IF($Z15&lt;=1000,(a_RRP*$Z15^(-c_RRP))*(1-(0/750*($Z15-250))),(a_RRP*$Z15^(-c_RRP))*(1-0))))</f>
        <v>27.342272510813004</v>
      </c>
      <c r="AB15" s="52">
        <f>IF(OR(RoPax!$B$31="Phase 3*",RoPax!$B$31="Phase 2*",RoPax!$B$31="Phase 1*",RoPax!$B$31="Phase 0*"),IF($Z15&gt;=10000,a_RRP2*10000^(-c_RRP)*(1-0.05),IF($Z15&lt;250,0,IF($Z15&lt;=1000,(a_RRP2*$Z15^(-c_RRP))*(1-(0.05/750*($Z15-250))),(a_RRP2*$Z15^(-c_RRP))*(1-0.05)))),IF($Z15&lt;250,0,IF($Z15&lt;=1000,(a_RRP*$Z15^(-c_RRP))*(1-(0.05/750*($Z15-250))),(a_RRP*$Z15^(-c_RRP))*(1-0.05))))</f>
        <v>25.975158885272354</v>
      </c>
      <c r="AC15" s="52">
        <f>IF(OR(RoPax!$B$31="Phase 3*",RoPax!$B$31="Phase 2*",RoPax!$B$31="Phase 1*",RoPax!$B$31="Phase 0*"),IF($Z15&gt;=10000,a_RRP2*10000^(-c_RRP)*(1-0.2),IF($Z15&lt;250,0,IF($Z15&lt;=1000,(a_RRP2*$Z15^(-c_RRP))*(1-(0.2/750*($Z15-250))),(a_RRP2*$Z15^(-c_RRP))*(1-0.2)))),IF($Z15&lt;250,0,IF($Z15&lt;=1000,(a_RRP*$Z15^(-c_RRP))*(1-(0.2/750*($Z15-250))),(a_RRP*$Z15^(-c_RRP))*(1-0.2))))</f>
        <v>21.873818008650403</v>
      </c>
      <c r="AD15" s="52">
        <f>IF(OR(RoPax!$B$31="Phase 3*",RoPax!$B$31="Phase 2*",RoPax!$B$31="Phase 1*",RoPax!$B$31="Phase 0*"),IF($Z15&gt;=10000,a_RRP2*10000^(-c_RRP)*(1-0.3),IF($Z15&lt;250,0,IF($Z15&lt;=1000,(a_RRP2*$Z15^(-c_RRP))*(1-(0.3/750*($Z15-250))),(a_RRP2*$Z15^(-c_RRP))*(1-0.3)))),IF($Z15&lt;250,0,IF($Z15&lt;=1000,(a_RRP*$Z15^(-c_RRP))*(1-(0.3/750*($Z15-250))),(a_RRP*$Z15^(-c_RRP))*(1-0.3))))</f>
        <v>19.139590757569103</v>
      </c>
      <c r="AE15" s="54">
        <v>6000</v>
      </c>
      <c r="AF15" s="52">
        <f t="shared" si="21"/>
        <v>30.116182801658137</v>
      </c>
      <c r="AG15" s="52">
        <f t="shared" si="22"/>
        <v>28.610373661575228</v>
      </c>
      <c r="AH15" s="52">
        <f t="shared" si="23"/>
        <v>25.598755381409415</v>
      </c>
      <c r="AI15" s="52">
        <f t="shared" si="24"/>
        <v>21.081327961160696</v>
      </c>
      <c r="AJ15" s="54">
        <v>6000</v>
      </c>
      <c r="AK15" s="52">
        <f t="shared" si="25"/>
        <v>12.965395260534109</v>
      </c>
      <c r="AL15" s="52">
        <f t="shared" si="26"/>
        <v>12.317125497507403</v>
      </c>
      <c r="AM15" s="52">
        <f t="shared" si="27"/>
        <v>11.020585971453992</v>
      </c>
      <c r="AN15" s="52">
        <f t="shared" si="28"/>
        <v>9.0757766823738759</v>
      </c>
      <c r="AO15" s="54">
        <v>6000</v>
      </c>
      <c r="AP15" s="52">
        <f t="shared" si="29"/>
        <v>21.202206132239546</v>
      </c>
      <c r="AQ15" s="52">
        <f t="shared" si="30"/>
        <v>19.081985519015593</v>
      </c>
      <c r="AR15" s="52">
        <f t="shared" si="31"/>
        <v>16.961764905791636</v>
      </c>
      <c r="AS15" s="52">
        <f t="shared" si="32"/>
        <v>14.841544292567681</v>
      </c>
      <c r="AT15" s="54">
        <v>6000</v>
      </c>
      <c r="AU15" s="52">
        <f t="shared" si="4"/>
        <v>36.479796922492241</v>
      </c>
      <c r="AV15" s="52">
        <f t="shared" si="33"/>
        <v>32.831817230243018</v>
      </c>
      <c r="AW15" s="52">
        <f t="shared" si="34"/>
        <v>29.183837537993796</v>
      </c>
      <c r="AX15" s="52">
        <f t="shared" si="35"/>
        <v>25.535857845744566</v>
      </c>
      <c r="AY15" s="54">
        <v>13000</v>
      </c>
      <c r="AZ15" s="52">
        <f t="shared" si="5"/>
        <v>22.50312386645437</v>
      </c>
      <c r="BA15" s="52">
        <f t="shared" si="6"/>
        <v>20.252811479808933</v>
      </c>
      <c r="BB15" s="52">
        <f t="shared" si="7"/>
        <v>19.127655286486213</v>
      </c>
      <c r="BC15" s="52">
        <f t="shared" si="8"/>
        <v>15.752186706518058</v>
      </c>
    </row>
    <row r="16" spans="1:55" x14ac:dyDescent="0.2">
      <c r="A16" s="54">
        <v>12000</v>
      </c>
      <c r="B16" s="52">
        <f t="shared" si="9"/>
        <v>26.37439941938452</v>
      </c>
      <c r="C16" s="52">
        <f t="shared" si="10"/>
        <v>23.736959477446067</v>
      </c>
      <c r="D16" s="52">
        <f t="shared" si="11"/>
        <v>21.099519535507618</v>
      </c>
      <c r="E16" s="52">
        <f t="shared" si="12"/>
        <v>18.462079593569165</v>
      </c>
      <c r="F16" s="54">
        <v>40000</v>
      </c>
      <c r="G16" s="52">
        <f t="shared" si="13"/>
        <v>6.1361736504334345</v>
      </c>
      <c r="H16" s="52">
        <f t="shared" si="14"/>
        <v>5.5225562853900909</v>
      </c>
      <c r="I16" s="52">
        <f t="shared" si="15"/>
        <v>4.9089389203467482</v>
      </c>
      <c r="J16" s="52">
        <f t="shared" si="16"/>
        <v>4.2953215553034036</v>
      </c>
      <c r="K16" s="54">
        <v>15000</v>
      </c>
      <c r="L16" s="52">
        <f t="shared" si="17"/>
        <v>13.467653860016414</v>
      </c>
      <c r="M16" s="52">
        <f t="shared" si="18"/>
        <v>12.120888474014773</v>
      </c>
      <c r="N16" s="52">
        <f t="shared" si="19"/>
        <v>11.447505781013952</v>
      </c>
      <c r="O16" s="52">
        <f t="shared" si="20"/>
        <v>9.4273577020114896</v>
      </c>
      <c r="P16" s="54">
        <v>12000</v>
      </c>
      <c r="Q16" s="52">
        <f t="shared" si="0"/>
        <v>12.453516413363989</v>
      </c>
      <c r="R16" s="52">
        <f t="shared" si="1"/>
        <v>11.83084059269579</v>
      </c>
      <c r="S16" s="52">
        <f t="shared" si="2"/>
        <v>11.20816477202759</v>
      </c>
      <c r="T16" s="52">
        <f t="shared" si="3"/>
        <v>10.585488951359391</v>
      </c>
      <c r="U16" s="54">
        <v>7000</v>
      </c>
      <c r="V16" s="52">
        <f>IF(OR('RoRo Cargo'!$B$29="Phase 3*",'RoRo Cargo'!$B$29="Phase 2*",'RoRo Cargo'!$B$29="Phase 1*",'RoRo Cargo'!$B$29="Phase 0*"),IF($U16&gt;=17000,a_RRC2*17000^(-c_RRC)*(1-(0/1000*($U16-1000))),IF($U16&lt;1000,0,IF($U16&lt;=2000,(a_RRC2*$U16^(-c_RRC))*(1-(0/1000*($U16-1000))),(a_RRC2*$U16^(-c_RRC))*(1-0)))),IF($U16&lt;1000,0,IF($U16&lt;=2000,(a_RRC*$U16^(-c_RRC))*(1-(0/1000*($U16-1000))),(a_RRC*$U16^(-c_RRC))*(1-0))))</f>
        <v>17.094793688205833</v>
      </c>
      <c r="W16" s="52">
        <f>IF(OR('RoRo Cargo'!$B$29="Phase 3*",'RoRo Cargo'!$B$29="Phase 2*",'RoRo Cargo'!$B$29="Phase 1*",'RoRo Cargo'!$B$29="Phase 0*"),IF($U16&gt;=17000,a_RRC2*17000^(-c_RRC)*(1-(0.05)),IF($U16&lt;1000,0,IF($U16&lt;=2000,(a_RRC2*$U16^(-c_RRC))*(1-(0.05/1000*($U16-1000))),(a_RRC2*$U16^(-c_RRC))*(1-0.05)))),IF($U16&lt;1000,0,IF($U16&lt;=2000,(a_RRC*$U16^(-c_RRC))*(1-(0.05/1000*($U16-1000))),(a_RRC*$U16^(-c_RRC))*(1-0.05))))</f>
        <v>16.240054003795539</v>
      </c>
      <c r="X16" s="52">
        <f>IF(OR('RoRo Cargo'!$B$29="Phase 3*",'RoRo Cargo'!$B$29="Phase 2*",'RoRo Cargo'!$B$29="Phase 1*",'RoRo Cargo'!$B$29="Phase 0*"),IF($U16&gt;=17000,a_RRC2*17000^(-c_RRC)*(1-(0.2)),IF($U16&lt;1000,0,IF($U16&lt;=2000,(a_RRC2*$U16^(-c_RRC))*(1-(0.2/1000*($U16-1000))),(a_RRC2*$U16^(-c_RRC))*(1-0.2)))),IF($U16&lt;1000,0,IF($U16&lt;=2000,(a_RRC*$U16^(-c_RRC))*(1-(0.2/1000*($U16-1000))),(a_RRC*$U16^(-c_RRC))*(1-0.2))))</f>
        <v>13.675834950564667</v>
      </c>
      <c r="Y16" s="52">
        <f>IF(OR('RoRo Cargo'!$B$29="Phase 3*",'RoRo Cargo'!$B$29="Phase 2*",'RoRo Cargo'!$B$29="Phase 1*",'RoRo Cargo'!$B$29="Phase 0*"),IF($U16&gt;=17000,a_RRC2*17000^(-c_RRC)*(1-(0.3)),IF($U16&lt;1000,0,IF($U16&lt;=2000,(a_RRC2*$U16^(-c_RRC))*(1-(0.3/1000*($U16-1000))),(a_RRC2*$U16^(-c_RRC))*(1-0.3)))),IF($U16&lt;1000,0,IF($U16&lt;=2000,(a_RRC*$U16^(-c_RRC))*(1-(0.3/1000*($U16-1000))),(a_RRC*$U16^(-c_RRC))*(1-0.3))))</f>
        <v>11.966355581744082</v>
      </c>
      <c r="Z16" s="54">
        <v>7000</v>
      </c>
      <c r="AA16" s="52">
        <f>IF(OR(RoPax!$B$31="Phase 3*",RoPax!$B$31="Phase 2*",RoPax!$B$31="Phase 1*",RoPax!$B$31="Phase 0*"),IF($Z16&gt;=10000,a_RRP2*10000^(-c_RRP)*(1-0),IF($Z16&lt;250,0,IF($Z16&lt;=1000,(a_RRP2*$Z16^(-c_RRP))*(1-(0/750*($Z16-250))),(a_RRP2*$Z16^(-c_RRP))*(1-0)))),IF($Z16&lt;250,0,IF($Z16&lt;=1000,(a_RRP*$Z16^(-c_RRP))*(1-(0/750*($Z16-250))),(a_RRP*$Z16^(-c_RRP))*(1-0))))</f>
        <v>25.782669442772036</v>
      </c>
      <c r="AB16" s="52">
        <f>IF(OR(RoPax!$B$31="Phase 3*",RoPax!$B$31="Phase 2*",RoPax!$B$31="Phase 1*",RoPax!$B$31="Phase 0*"),IF($Z16&gt;=10000,a_RRP2*10000^(-c_RRP)*(1-0.05),IF($Z16&lt;250,0,IF($Z16&lt;=1000,(a_RRP2*$Z16^(-c_RRP))*(1-(0.05/750*($Z16-250))),(a_RRP2*$Z16^(-c_RRP))*(1-0.05)))),IF($Z16&lt;250,0,IF($Z16&lt;=1000,(a_RRP*$Z16^(-c_RRP))*(1-(0.05/750*($Z16-250))),(a_RRP*$Z16^(-c_RRP))*(1-0.05))))</f>
        <v>24.493535970633435</v>
      </c>
      <c r="AC16" s="52">
        <f>IF(OR(RoPax!$B$31="Phase 3*",RoPax!$B$31="Phase 2*",RoPax!$B$31="Phase 1*",RoPax!$B$31="Phase 0*"),IF($Z16&gt;=10000,a_RRP2*10000^(-c_RRP)*(1-0.2),IF($Z16&lt;250,0,IF($Z16&lt;=1000,(a_RRP2*$Z16^(-c_RRP))*(1-(0.2/750*($Z16-250))),(a_RRP2*$Z16^(-c_RRP))*(1-0.2)))),IF($Z16&lt;250,0,IF($Z16&lt;=1000,(a_RRP*$Z16^(-c_RRP))*(1-(0.2/750*($Z16-250))),(a_RRP*$Z16^(-c_RRP))*(1-0.2))))</f>
        <v>20.62613555421763</v>
      </c>
      <c r="AD16" s="52">
        <f>IF(OR(RoPax!$B$31="Phase 3*",RoPax!$B$31="Phase 2*",RoPax!$B$31="Phase 1*",RoPax!$B$31="Phase 0*"),IF($Z16&gt;=10000,a_RRP2*10000^(-c_RRP)*(1-0.3),IF($Z16&lt;250,0,IF($Z16&lt;=1000,(a_RRP2*$Z16^(-c_RRP))*(1-(0.3/750*($Z16-250))),(a_RRP2*$Z16^(-c_RRP))*(1-0.3)))),IF($Z16&lt;250,0,IF($Z16&lt;=1000,(a_RRP*$Z16^(-c_RRP))*(1-(0.3/750*($Z16-250))),(a_RRP*$Z16^(-c_RRP))*(1-0.3))))</f>
        <v>18.047868609940423</v>
      </c>
      <c r="AE16" s="54">
        <v>7000</v>
      </c>
      <c r="AF16" s="52">
        <f t="shared" si="21"/>
        <v>28.007089979876273</v>
      </c>
      <c r="AG16" s="52">
        <f t="shared" si="22"/>
        <v>26.60673548088246</v>
      </c>
      <c r="AH16" s="52">
        <f t="shared" si="23"/>
        <v>23.806026482894833</v>
      </c>
      <c r="AI16" s="52">
        <f t="shared" si="24"/>
        <v>19.604962985913389</v>
      </c>
      <c r="AJ16" s="54">
        <v>7000</v>
      </c>
      <c r="AK16" s="52">
        <f t="shared" si="25"/>
        <v>12.057404289179948</v>
      </c>
      <c r="AL16" s="52">
        <f t="shared" si="26"/>
        <v>11.45453407472095</v>
      </c>
      <c r="AM16" s="52">
        <f t="shared" si="27"/>
        <v>10.248793645802955</v>
      </c>
      <c r="AN16" s="52">
        <f t="shared" si="28"/>
        <v>8.4401830024259628</v>
      </c>
      <c r="AO16" s="54">
        <v>7000</v>
      </c>
      <c r="AP16" s="52">
        <f t="shared" si="29"/>
        <v>19.763020285658065</v>
      </c>
      <c r="AQ16" s="52">
        <f t="shared" si="30"/>
        <v>17.786718257092261</v>
      </c>
      <c r="AR16" s="52">
        <f t="shared" si="31"/>
        <v>15.810416228526453</v>
      </c>
      <c r="AS16" s="52">
        <f t="shared" si="32"/>
        <v>13.834114199960645</v>
      </c>
      <c r="AT16" s="54">
        <v>7000</v>
      </c>
      <c r="AU16" s="52">
        <f t="shared" si="4"/>
        <v>33.909363176088981</v>
      </c>
      <c r="AV16" s="52">
        <f t="shared" si="33"/>
        <v>30.518426858480083</v>
      </c>
      <c r="AW16" s="52">
        <f t="shared" si="34"/>
        <v>27.127490540871186</v>
      </c>
      <c r="AX16" s="52">
        <f t="shared" si="35"/>
        <v>23.736554223262285</v>
      </c>
      <c r="AY16" s="54">
        <v>14000</v>
      </c>
      <c r="AZ16" s="52">
        <f t="shared" si="5"/>
        <v>22.099871474576542</v>
      </c>
      <c r="BA16" s="52">
        <f t="shared" si="6"/>
        <v>19.889884327118889</v>
      </c>
      <c r="BB16" s="52">
        <f t="shared" si="7"/>
        <v>18.784890753390059</v>
      </c>
      <c r="BC16" s="52">
        <f t="shared" si="8"/>
        <v>15.469910032203579</v>
      </c>
    </row>
    <row r="17" spans="1:55" x14ac:dyDescent="0.2">
      <c r="A17" s="54">
        <v>13000</v>
      </c>
      <c r="B17" s="52">
        <f t="shared" si="9"/>
        <v>25.953467848546421</v>
      </c>
      <c r="C17" s="52">
        <f t="shared" si="10"/>
        <v>23.35812106369178</v>
      </c>
      <c r="D17" s="52">
        <f t="shared" si="11"/>
        <v>20.762774278837139</v>
      </c>
      <c r="E17" s="52">
        <f t="shared" si="12"/>
        <v>18.167427493982494</v>
      </c>
      <c r="F17" s="54">
        <v>50000</v>
      </c>
      <c r="G17" s="52">
        <f t="shared" si="13"/>
        <v>5.5166008907325903</v>
      </c>
      <c r="H17" s="52">
        <f t="shared" si="14"/>
        <v>4.9649408016593313</v>
      </c>
      <c r="I17" s="52">
        <f t="shared" si="15"/>
        <v>4.4132807125860722</v>
      </c>
      <c r="J17" s="52">
        <f t="shared" si="16"/>
        <v>3.8616206235128128</v>
      </c>
      <c r="K17" s="54">
        <v>17500</v>
      </c>
      <c r="L17" s="52">
        <f t="shared" si="17"/>
        <v>13.026610843610454</v>
      </c>
      <c r="M17" s="52">
        <f t="shared" si="18"/>
        <v>11.723949759249409</v>
      </c>
      <c r="N17" s="52">
        <f t="shared" si="19"/>
        <v>11.072619217068885</v>
      </c>
      <c r="O17" s="52">
        <f t="shared" si="20"/>
        <v>9.1186275905273178</v>
      </c>
      <c r="P17" s="54">
        <v>13000</v>
      </c>
      <c r="Q17" s="52">
        <f t="shared" si="0"/>
        <v>11.976449556456284</v>
      </c>
      <c r="R17" s="52">
        <f t="shared" si="1"/>
        <v>11.302774268905617</v>
      </c>
      <c r="S17" s="52">
        <f t="shared" si="2"/>
        <v>10.629098981354952</v>
      </c>
      <c r="T17" s="52">
        <f t="shared" si="3"/>
        <v>9.9554236938042866</v>
      </c>
      <c r="U17" s="54">
        <v>8000</v>
      </c>
      <c r="V17" s="52">
        <f>IF(OR('RoRo Cargo'!$B$29="Phase 3*",'RoRo Cargo'!$B$29="Phase 2*",'RoRo Cargo'!$B$29="Phase 1*",'RoRo Cargo'!$B$29="Phase 0*"),IF($U17&gt;=17000,a_RRC2*17000^(-c_RRC)*(1-(0/1000*($U17-1000))),IF($U17&lt;1000,0,IF($U17&lt;=2000,(a_RRC2*$U17^(-c_RRC))*(1-(0/1000*($U17-1000))),(a_RRC2*$U17^(-c_RRC))*(1-0)))),IF($U17&lt;1000,0,IF($U17&lt;=2000,(a_RRC*$U17^(-c_RRC))*(1-(0/1000*($U17-1000))),(a_RRC*$U17^(-c_RRC))*(1-0))))</f>
        <v>15.99498636497094</v>
      </c>
      <c r="W17" s="52">
        <f>IF(OR('RoRo Cargo'!$B$29="Phase 3*",'RoRo Cargo'!$B$29="Phase 2*",'RoRo Cargo'!$B$29="Phase 1*",'RoRo Cargo'!$B$29="Phase 0*"),IF($U17&gt;=17000,a_RRC2*17000^(-c_RRC)*(1-(0.05)),IF($U17&lt;1000,0,IF($U17&lt;=2000,(a_RRC2*$U17^(-c_RRC))*(1-(0.05/1000*($U17-1000))),(a_RRC2*$U17^(-c_RRC))*(1-0.05)))),IF($U17&lt;1000,0,IF($U17&lt;=2000,(a_RRC*$U17^(-c_RRC))*(1-(0.05/1000*($U17-1000))),(a_RRC*$U17^(-c_RRC))*(1-0.05))))</f>
        <v>15.195237046722392</v>
      </c>
      <c r="X17" s="52">
        <f>IF(OR('RoRo Cargo'!$B$29="Phase 3*",'RoRo Cargo'!$B$29="Phase 2*",'RoRo Cargo'!$B$29="Phase 1*",'RoRo Cargo'!$B$29="Phase 0*"),IF($U17&gt;=17000,a_RRC2*17000^(-c_RRC)*(1-(0.2)),IF($U17&lt;1000,0,IF($U17&lt;=2000,(a_RRC2*$U17^(-c_RRC))*(1-(0.2/1000*($U17-1000))),(a_RRC2*$U17^(-c_RRC))*(1-0.2)))),IF($U17&lt;1000,0,IF($U17&lt;=2000,(a_RRC*$U17^(-c_RRC))*(1-(0.2/1000*($U17-1000))),(a_RRC*$U17^(-c_RRC))*(1-0.2))))</f>
        <v>12.795989091976752</v>
      </c>
      <c r="Y17" s="52">
        <f>IF(OR('RoRo Cargo'!$B$29="Phase 3*",'RoRo Cargo'!$B$29="Phase 2*",'RoRo Cargo'!$B$29="Phase 1*",'RoRo Cargo'!$B$29="Phase 0*"),IF($U17&gt;=17000,a_RRC2*17000^(-c_RRC)*(1-(0.3)),IF($U17&lt;1000,0,IF($U17&lt;=2000,(a_RRC2*$U17^(-c_RRC))*(1-(0.3/1000*($U17-1000))),(a_RRC2*$U17^(-c_RRC))*(1-0.3)))),IF($U17&lt;1000,0,IF($U17&lt;=2000,(a_RRC*$U17^(-c_RRC))*(1-(0.3/1000*($U17-1000))),(a_RRC*$U17^(-c_RRC))*(1-0.3))))</f>
        <v>11.196490455479656</v>
      </c>
      <c r="Z17" s="54">
        <v>8000</v>
      </c>
      <c r="AA17" s="52">
        <f>IF(OR(RoPax!$B$31="Phase 3*",RoPax!$B$31="Phase 2*",RoPax!$B$31="Phase 1*",RoPax!$B$31="Phase 0*"),IF($Z17&gt;=10000,a_RRP2*10000^(-c_RRP)*(1-0),IF($Z17&lt;250,0,IF($Z17&lt;=1000,(a_RRP2*$Z17^(-c_RRP))*(1-(0/750*($Z17-250))),(a_RRP2*$Z17^(-c_RRP))*(1-0)))),IF($Z17&lt;250,0,IF($Z17&lt;=1000,(a_RRP*$Z17^(-c_RRP))*(1-(0/750*($Z17-250))),(a_RRP*$Z17^(-c_RRP))*(1-0))))</f>
        <v>24.503772336185694</v>
      </c>
      <c r="AB17" s="52">
        <f>IF(OR(RoPax!$B$31="Phase 3*",RoPax!$B$31="Phase 2*",RoPax!$B$31="Phase 1*",RoPax!$B$31="Phase 0*"),IF($Z17&gt;=10000,a_RRP2*10000^(-c_RRP)*(1-0.05),IF($Z17&lt;250,0,IF($Z17&lt;=1000,(a_RRP2*$Z17^(-c_RRP))*(1-(0.05/750*($Z17-250))),(a_RRP2*$Z17^(-c_RRP))*(1-0.05)))),IF($Z17&lt;250,0,IF($Z17&lt;=1000,(a_RRP*$Z17^(-c_RRP))*(1-(0.05/750*($Z17-250))),(a_RRP*$Z17^(-c_RRP))*(1-0.05))))</f>
        <v>23.278583719376407</v>
      </c>
      <c r="AC17" s="52">
        <f>IF(OR(RoPax!$B$31="Phase 3*",RoPax!$B$31="Phase 2*",RoPax!$B$31="Phase 1*",RoPax!$B$31="Phase 0*"),IF($Z17&gt;=10000,a_RRP2*10000^(-c_RRP)*(1-0.2),IF($Z17&lt;250,0,IF($Z17&lt;=1000,(a_RRP2*$Z17^(-c_RRP))*(1-(0.2/750*($Z17-250))),(a_RRP2*$Z17^(-c_RRP))*(1-0.2)))),IF($Z17&lt;250,0,IF($Z17&lt;=1000,(a_RRP*$Z17^(-c_RRP))*(1-(0.2/750*($Z17-250))),(a_RRP*$Z17^(-c_RRP))*(1-0.2))))</f>
        <v>19.603017868948555</v>
      </c>
      <c r="AD17" s="52">
        <f>IF(OR(RoPax!$B$31="Phase 3*",RoPax!$B$31="Phase 2*",RoPax!$B$31="Phase 1*",RoPax!$B$31="Phase 0*"),IF($Z17&gt;=10000,a_RRP2*10000^(-c_RRP)*(1-0.3),IF($Z17&lt;250,0,IF($Z17&lt;=1000,(a_RRP2*$Z17^(-c_RRP))*(1-(0.3/750*($Z17-250))),(a_RRP2*$Z17^(-c_RRP))*(1-0.3)))),IF($Z17&lt;250,0,IF($Z17&lt;=1000,(a_RRP*$Z17^(-c_RRP))*(1-(0.3/750*($Z17-250))),(a_RRP*$Z17^(-c_RRP))*(1-0.3))))</f>
        <v>17.152640635329984</v>
      </c>
      <c r="AE17" s="54">
        <v>8000</v>
      </c>
      <c r="AF17" s="52">
        <f t="shared" si="21"/>
        <v>26.299880771303222</v>
      </c>
      <c r="AG17" s="52">
        <f t="shared" si="22"/>
        <v>24.984886732738058</v>
      </c>
      <c r="AH17" s="52">
        <f t="shared" si="23"/>
        <v>22.354898655607737</v>
      </c>
      <c r="AI17" s="52">
        <f t="shared" si="24"/>
        <v>18.409916539912253</v>
      </c>
      <c r="AJ17" s="54">
        <v>8000</v>
      </c>
      <c r="AK17" s="52">
        <f t="shared" si="25"/>
        <v>11.322429265042608</v>
      </c>
      <c r="AL17" s="52">
        <f t="shared" si="26"/>
        <v>10.756307801790477</v>
      </c>
      <c r="AM17" s="52">
        <f t="shared" si="27"/>
        <v>9.6240648752862157</v>
      </c>
      <c r="AN17" s="52">
        <f t="shared" si="28"/>
        <v>7.9257004855298252</v>
      </c>
      <c r="AO17" s="54">
        <v>8000</v>
      </c>
      <c r="AP17" s="52">
        <f t="shared" si="29"/>
        <v>18.595548313089072</v>
      </c>
      <c r="AQ17" s="52">
        <f t="shared" si="30"/>
        <v>16.735993481780167</v>
      </c>
      <c r="AR17" s="52">
        <f t="shared" si="31"/>
        <v>14.876438650471258</v>
      </c>
      <c r="AS17" s="52">
        <f t="shared" si="32"/>
        <v>13.01688381916235</v>
      </c>
      <c r="AT17" s="54">
        <v>8000</v>
      </c>
      <c r="AU17" s="52">
        <f t="shared" si="4"/>
        <v>31.829619784544619</v>
      </c>
      <c r="AV17" s="52">
        <f t="shared" si="33"/>
        <v>28.646657806090158</v>
      </c>
      <c r="AW17" s="52">
        <f t="shared" si="34"/>
        <v>25.463695827635696</v>
      </c>
      <c r="AX17" s="52">
        <f t="shared" si="35"/>
        <v>22.280733849181232</v>
      </c>
      <c r="AY17" s="54">
        <v>15000</v>
      </c>
      <c r="AZ17" s="52">
        <f t="shared" si="5"/>
        <v>21.730950446778092</v>
      </c>
      <c r="BA17" s="52">
        <f t="shared" si="6"/>
        <v>19.557855402100284</v>
      </c>
      <c r="BB17" s="52">
        <f t="shared" si="7"/>
        <v>18.471307879761376</v>
      </c>
      <c r="BC17" s="52">
        <f t="shared" si="8"/>
        <v>15.211665312744664</v>
      </c>
    </row>
    <row r="18" spans="1:55" x14ac:dyDescent="0.2">
      <c r="A18" s="54">
        <v>14000</v>
      </c>
      <c r="B18" s="52">
        <f t="shared" si="9"/>
        <v>25.569737774846903</v>
      </c>
      <c r="C18" s="52">
        <f t="shared" si="10"/>
        <v>23.012763997362214</v>
      </c>
      <c r="D18" s="52">
        <f t="shared" si="11"/>
        <v>20.455790219877525</v>
      </c>
      <c r="E18" s="52">
        <f t="shared" si="12"/>
        <v>17.898816442392832</v>
      </c>
      <c r="F18" s="54">
        <v>60000</v>
      </c>
      <c r="G18" s="52">
        <f t="shared" si="13"/>
        <v>5.0571066293106464</v>
      </c>
      <c r="H18" s="52">
        <f t="shared" si="14"/>
        <v>4.551395966379582</v>
      </c>
      <c r="I18" s="52">
        <f t="shared" si="15"/>
        <v>4.0456853034485176</v>
      </c>
      <c r="J18" s="52">
        <f t="shared" si="16"/>
        <v>3.5399746405174524</v>
      </c>
      <c r="K18" s="54">
        <v>20000</v>
      </c>
      <c r="L18" s="52">
        <f t="shared" si="17"/>
        <v>12.656253899298513</v>
      </c>
      <c r="M18" s="52">
        <f t="shared" si="18"/>
        <v>11.390628509368662</v>
      </c>
      <c r="N18" s="52">
        <f t="shared" si="19"/>
        <v>10.757815814403735</v>
      </c>
      <c r="O18" s="52">
        <f t="shared" si="20"/>
        <v>8.8593777295089584</v>
      </c>
      <c r="P18" s="54">
        <v>14000</v>
      </c>
      <c r="Q18" s="52">
        <f t="shared" si="0"/>
        <v>11.551063309003817</v>
      </c>
      <c r="R18" s="52">
        <f t="shared" si="1"/>
        <v>10.829121852191079</v>
      </c>
      <c r="S18" s="52">
        <f t="shared" si="2"/>
        <v>10.107180395378339</v>
      </c>
      <c r="T18" s="52">
        <f t="shared" si="3"/>
        <v>9.3852389385656014</v>
      </c>
      <c r="U18" s="54">
        <v>9000</v>
      </c>
      <c r="V18" s="52">
        <f>IF(OR('RoRo Cargo'!$B$29="Phase 3*",'RoRo Cargo'!$B$29="Phase 2*",'RoRo Cargo'!$B$29="Phase 1*",'RoRo Cargo'!$B$29="Phase 0*"),IF($U18&gt;=17000,a_RRC2*17000^(-c_RRC)*(1-(0/1000*($U18-1000))),IF($U18&lt;1000,0,IF($U18&lt;=2000,(a_RRC2*$U18^(-c_RRC))*(1-(0/1000*($U18-1000))),(a_RRC2*$U18^(-c_RRC))*(1-0)))),IF($U18&lt;1000,0,IF($U18&lt;=2000,(a_RRC*$U18^(-c_RRC))*(1-(0/1000*($U18-1000))),(a_RRC*$U18^(-c_RRC))*(1-0))))</f>
        <v>15.083770570973703</v>
      </c>
      <c r="W18" s="52">
        <f>IF(OR('RoRo Cargo'!$B$29="Phase 3*",'RoRo Cargo'!$B$29="Phase 2*",'RoRo Cargo'!$B$29="Phase 1*",'RoRo Cargo'!$B$29="Phase 0*"),IF($U18&gt;=17000,a_RRC2*17000^(-c_RRC)*(1-(0.05)),IF($U18&lt;1000,0,IF($U18&lt;=2000,(a_RRC2*$U18^(-c_RRC))*(1-(0.05/1000*($U18-1000))),(a_RRC2*$U18^(-c_RRC))*(1-0.05)))),IF($U18&lt;1000,0,IF($U18&lt;=2000,(a_RRC*$U18^(-c_RRC))*(1-(0.05/1000*($U18-1000))),(a_RRC*$U18^(-c_RRC))*(1-0.05))))</f>
        <v>14.329582042425017</v>
      </c>
      <c r="X18" s="52">
        <f>IF(OR('RoRo Cargo'!$B$29="Phase 3*",'RoRo Cargo'!$B$29="Phase 2*",'RoRo Cargo'!$B$29="Phase 1*",'RoRo Cargo'!$B$29="Phase 0*"),IF($U18&gt;=17000,a_RRC2*17000^(-c_RRC)*(1-(0.2)),IF($U18&lt;1000,0,IF($U18&lt;=2000,(a_RRC2*$U18^(-c_RRC))*(1-(0.2/1000*($U18-1000))),(a_RRC2*$U18^(-c_RRC))*(1-0.2)))),IF($U18&lt;1000,0,IF($U18&lt;=2000,(a_RRC*$U18^(-c_RRC))*(1-(0.2/1000*($U18-1000))),(a_RRC*$U18^(-c_RRC))*(1-0.2))))</f>
        <v>12.067016456778964</v>
      </c>
      <c r="Y18" s="52">
        <f>IF(OR('RoRo Cargo'!$B$29="Phase 3*",'RoRo Cargo'!$B$29="Phase 2*",'RoRo Cargo'!$B$29="Phase 1*",'RoRo Cargo'!$B$29="Phase 0*"),IF($U18&gt;=17000,a_RRC2*17000^(-c_RRC)*(1-(0.3)),IF($U18&lt;1000,0,IF($U18&lt;=2000,(a_RRC2*$U18^(-c_RRC))*(1-(0.3/1000*($U18-1000))),(a_RRC2*$U18^(-c_RRC))*(1-0.3)))),IF($U18&lt;1000,0,IF($U18&lt;=2000,(a_RRC*$U18^(-c_RRC))*(1-(0.3/1000*($U18-1000))),(a_RRC*$U18^(-c_RRC))*(1-0.3))))</f>
        <v>10.558639399681592</v>
      </c>
      <c r="Z18" s="54">
        <v>9000</v>
      </c>
      <c r="AA18" s="52">
        <f>IF(OR(RoPax!$B$31="Phase 3*",RoPax!$B$31="Phase 2*",RoPax!$B$31="Phase 1*",RoPax!$B$31="Phase 0*"),IF($Z18&gt;=10000,a_RRP2*10000^(-c_RRP)*(1-0),IF($Z18&lt;250,0,IF($Z18&lt;=1000,(a_RRP2*$Z18^(-c_RRP))*(1-(0/750*($Z18-250))),(a_RRP2*$Z18^(-c_RRP))*(1-0)))),IF($Z18&lt;250,0,IF($Z18&lt;=1000,(a_RRP*$Z18^(-c_RRP))*(1-(0/750*($Z18-250))),(a_RRP*$Z18^(-c_RRP))*(1-0))))</f>
        <v>23.428465139232699</v>
      </c>
      <c r="AB18" s="52">
        <f>IF(OR(RoPax!$B$31="Phase 3*",RoPax!$B$31="Phase 2*",RoPax!$B$31="Phase 1*",RoPax!$B$31="Phase 0*"),IF($Z18&gt;=10000,a_RRP2*10000^(-c_RRP)*(1-0.05),IF($Z18&lt;250,0,IF($Z18&lt;=1000,(a_RRP2*$Z18^(-c_RRP))*(1-(0.05/750*($Z18-250))),(a_RRP2*$Z18^(-c_RRP))*(1-0.05)))),IF($Z18&lt;250,0,IF($Z18&lt;=1000,(a_RRP*$Z18^(-c_RRP))*(1-(0.05/750*($Z18-250))),(a_RRP*$Z18^(-c_RRP))*(1-0.05))))</f>
        <v>22.257041882271064</v>
      </c>
      <c r="AC18" s="52">
        <f>IF(OR(RoPax!$B$31="Phase 3*",RoPax!$B$31="Phase 2*",RoPax!$B$31="Phase 1*",RoPax!$B$31="Phase 0*"),IF($Z18&gt;=10000,a_RRP2*10000^(-c_RRP)*(1-0.2),IF($Z18&lt;250,0,IF($Z18&lt;=1000,(a_RRP2*$Z18^(-c_RRP))*(1-(0.2/750*($Z18-250))),(a_RRP2*$Z18^(-c_RRP))*(1-0.2)))),IF($Z18&lt;250,0,IF($Z18&lt;=1000,(a_RRP*$Z18^(-c_RRP))*(1-(0.2/750*($Z18-250))),(a_RRP*$Z18^(-c_RRP))*(1-0.2))))</f>
        <v>18.742772111386159</v>
      </c>
      <c r="AD18" s="52">
        <f>IF(OR(RoPax!$B$31="Phase 3*",RoPax!$B$31="Phase 2*",RoPax!$B$31="Phase 1*",RoPax!$B$31="Phase 0*"),IF($Z18&gt;=10000,a_RRP2*10000^(-c_RRP)*(1-0.3),IF($Z18&lt;250,0,IF($Z18&lt;=1000,(a_RRP2*$Z18^(-c_RRP))*(1-(0.3/750*($Z18-250))),(a_RRP2*$Z18^(-c_RRP))*(1-0.3)))),IF($Z18&lt;250,0,IF($Z18&lt;=1000,(a_RRP*$Z18^(-c_RRP))*(1-(0.3/750*($Z18-250))),(a_RRP*$Z18^(-c_RRP))*(1-0.3))))</f>
        <v>16.399925597462889</v>
      </c>
      <c r="AE18" s="54">
        <v>9000</v>
      </c>
      <c r="AF18" s="52">
        <f t="shared" si="21"/>
        <v>24.880605290435614</v>
      </c>
      <c r="AG18" s="52">
        <f t="shared" si="22"/>
        <v>23.636575025913832</v>
      </c>
      <c r="AH18" s="52">
        <f t="shared" si="23"/>
        <v>21.14851449687027</v>
      </c>
      <c r="AI18" s="52">
        <f t="shared" si="24"/>
        <v>17.416423703304929</v>
      </c>
      <c r="AJ18" s="54">
        <v>9000</v>
      </c>
      <c r="AK18" s="52">
        <f t="shared" si="25"/>
        <v>10.711413330047685</v>
      </c>
      <c r="AL18" s="52">
        <f t="shared" si="26"/>
        <v>10.1758426635453</v>
      </c>
      <c r="AM18" s="52">
        <f t="shared" si="27"/>
        <v>9.1047013305405322</v>
      </c>
      <c r="AN18" s="52">
        <f t="shared" si="28"/>
        <v>7.4979893310333789</v>
      </c>
      <c r="AO18" s="54">
        <v>9000</v>
      </c>
      <c r="AP18" s="52">
        <f t="shared" si="29"/>
        <v>17.623145967080159</v>
      </c>
      <c r="AQ18" s="52">
        <f t="shared" si="30"/>
        <v>15.860831370372143</v>
      </c>
      <c r="AR18" s="52">
        <f t="shared" si="31"/>
        <v>14.098516773664128</v>
      </c>
      <c r="AS18" s="52">
        <f t="shared" si="32"/>
        <v>12.33620217695611</v>
      </c>
      <c r="AT18" s="54">
        <v>9000</v>
      </c>
      <c r="AU18" s="52">
        <f t="shared" si="4"/>
        <v>30.101293285567198</v>
      </c>
      <c r="AV18" s="52">
        <f t="shared" si="33"/>
        <v>27.09116395701048</v>
      </c>
      <c r="AW18" s="52">
        <f t="shared" si="34"/>
        <v>24.081034628453761</v>
      </c>
      <c r="AX18" s="52">
        <f t="shared" si="35"/>
        <v>21.070905299897039</v>
      </c>
      <c r="AY18" s="54">
        <v>16000</v>
      </c>
      <c r="AZ18" s="52">
        <f t="shared" si="5"/>
        <v>21.391424834970231</v>
      </c>
      <c r="BA18" s="52">
        <f t="shared" si="6"/>
        <v>19.252282351473209</v>
      </c>
      <c r="BB18" s="52">
        <f t="shared" si="7"/>
        <v>18.182711109724696</v>
      </c>
      <c r="BC18" s="52">
        <f t="shared" si="8"/>
        <v>14.97399738447916</v>
      </c>
    </row>
    <row r="19" spans="1:55" x14ac:dyDescent="0.2">
      <c r="A19" s="54">
        <v>15000</v>
      </c>
      <c r="B19" s="52">
        <f t="shared" si="9"/>
        <v>25.217595043598529</v>
      </c>
      <c r="C19" s="52">
        <f t="shared" si="10"/>
        <v>22.695835539238676</v>
      </c>
      <c r="D19" s="52">
        <f t="shared" si="11"/>
        <v>20.174076034878823</v>
      </c>
      <c r="E19" s="52">
        <f t="shared" si="12"/>
        <v>17.65231653051897</v>
      </c>
      <c r="F19" s="54">
        <v>70000</v>
      </c>
      <c r="G19" s="52">
        <f t="shared" si="13"/>
        <v>4.6986001930312211</v>
      </c>
      <c r="H19" s="52">
        <f t="shared" si="14"/>
        <v>4.2287401737280987</v>
      </c>
      <c r="I19" s="52">
        <f t="shared" si="15"/>
        <v>3.7588801544249772</v>
      </c>
      <c r="J19" s="52">
        <f t="shared" si="16"/>
        <v>3.2890201351218544</v>
      </c>
      <c r="K19" s="54">
        <v>22500</v>
      </c>
      <c r="L19" s="52">
        <f t="shared" si="17"/>
        <v>12.338325800422313</v>
      </c>
      <c r="M19" s="52">
        <f t="shared" si="18"/>
        <v>11.104493220380082</v>
      </c>
      <c r="N19" s="52">
        <f t="shared" si="19"/>
        <v>10.487576930358966</v>
      </c>
      <c r="O19" s="52">
        <f t="shared" si="20"/>
        <v>8.6368280602956187</v>
      </c>
      <c r="P19" s="54">
        <v>15000</v>
      </c>
      <c r="Q19" s="52">
        <f t="shared" si="0"/>
        <v>11.168630192397982</v>
      </c>
      <c r="R19" s="52">
        <f t="shared" si="1"/>
        <v>10.400786866670622</v>
      </c>
      <c r="S19" s="52">
        <f t="shared" si="2"/>
        <v>9.6329435409432609</v>
      </c>
      <c r="T19" s="52">
        <f t="shared" si="3"/>
        <v>8.8651002152158984</v>
      </c>
      <c r="U19" s="54">
        <v>10000</v>
      </c>
      <c r="V19" s="52">
        <f>IF(OR('RoRo Cargo'!$B$29="Phase 3*",'RoRo Cargo'!$B$29="Phase 2*",'RoRo Cargo'!$B$29="Phase 1*",'RoRo Cargo'!$B$29="Phase 0*"),IF($U19&gt;=17000,a_RRC2*17000^(-c_RRC)*(1-(0/1000*($U19-1000))),IF($U19&lt;1000,0,IF($U19&lt;=2000,(a_RRC2*$U19^(-c_RRC))*(1-(0/1000*($U19-1000))),(a_RRC2*$U19^(-c_RRC))*(1-0)))),IF($U19&lt;1000,0,IF($U19&lt;=2000,(a_RRC*$U19^(-c_RRC))*(1-(0/1000*($U19-1000))),(a_RRC*$U19^(-c_RRC))*(1-0))))</f>
        <v>14.312736889242423</v>
      </c>
      <c r="W19" s="52">
        <f>IF(OR('RoRo Cargo'!$B$29="Phase 3*",'RoRo Cargo'!$B$29="Phase 2*",'RoRo Cargo'!$B$29="Phase 1*",'RoRo Cargo'!$B$29="Phase 0*"),IF($U19&gt;=17000,a_RRC2*17000^(-c_RRC)*(1-(0.05)),IF($U19&lt;1000,0,IF($U19&lt;=2000,(a_RRC2*$U19^(-c_RRC))*(1-(0.05/1000*($U19-1000))),(a_RRC2*$U19^(-c_RRC))*(1-0.05)))),IF($U19&lt;1000,0,IF($U19&lt;=2000,(a_RRC*$U19^(-c_RRC))*(1-(0.05/1000*($U19-1000))),(a_RRC*$U19^(-c_RRC))*(1-0.05))))</f>
        <v>13.597100044780301</v>
      </c>
      <c r="X19" s="52">
        <f>IF(OR('RoRo Cargo'!$B$29="Phase 3*",'RoRo Cargo'!$B$29="Phase 2*",'RoRo Cargo'!$B$29="Phase 1*",'RoRo Cargo'!$B$29="Phase 0*"),IF($U19&gt;=17000,a_RRC2*17000^(-c_RRC)*(1-(0.2)),IF($U19&lt;1000,0,IF($U19&lt;=2000,(a_RRC2*$U19^(-c_RRC))*(1-(0.2/1000*($U19-1000))),(a_RRC2*$U19^(-c_RRC))*(1-0.2)))),IF($U19&lt;1000,0,IF($U19&lt;=2000,(a_RRC*$U19^(-c_RRC))*(1-(0.2/1000*($U19-1000))),(a_RRC*$U19^(-c_RRC))*(1-0.2))))</f>
        <v>11.450189511393939</v>
      </c>
      <c r="Y19" s="52">
        <f>IF(OR('RoRo Cargo'!$B$29="Phase 3*",'RoRo Cargo'!$B$29="Phase 2*",'RoRo Cargo'!$B$29="Phase 1*",'RoRo Cargo'!$B$29="Phase 0*"),IF($U19&gt;=17000,a_RRC2*17000^(-c_RRC)*(1-(0.3)),IF($U19&lt;1000,0,IF($U19&lt;=2000,(a_RRC2*$U19^(-c_RRC))*(1-(0.3/1000*($U19-1000))),(a_RRC2*$U19^(-c_RRC))*(1-0.3)))),IF($U19&lt;1000,0,IF($U19&lt;=2000,(a_RRC*$U19^(-c_RRC))*(1-(0.3/1000*($U19-1000))),(a_RRC*$U19^(-c_RRC))*(1-0.3))))</f>
        <v>10.018915822469696</v>
      </c>
      <c r="Z19" s="54">
        <v>10000</v>
      </c>
      <c r="AA19" s="52">
        <f>IF(OR(RoPax!$B$31="Phase 3*",RoPax!$B$31="Phase 2*",RoPax!$B$31="Phase 1*",RoPax!$B$31="Phase 0*"),IF($Z19&gt;=10000,a_RRP2*10000^(-c_RRP)*(1-0),IF($Z19&lt;250,0,IF($Z19&lt;=1000,(a_RRP2*$Z19^(-c_RRP))*(1-(0/750*($Z19-250))),(a_RRP2*$Z19^(-c_RRP))*(1-0)))),IF($Z19&lt;250,0,IF($Z19&lt;=1000,(a_RRP*$Z19^(-c_RRP))*(1-(0/750*($Z19-250))),(a_RRP*$Z19^(-c_RRP))*(1-0))))</f>
        <v>22.506617690712147</v>
      </c>
      <c r="AB19" s="52">
        <f>IF(OR(RoPax!$B$31="Phase 3*",RoPax!$B$31="Phase 2*",RoPax!$B$31="Phase 1*",RoPax!$B$31="Phase 0*"),IF($Z19&gt;=10000,a_RRP2*10000^(-c_RRP)*(1-0.05),IF($Z19&lt;250,0,IF($Z19&lt;=1000,(a_RRP2*$Z19^(-c_RRP))*(1-(0.05/750*($Z19-250))),(a_RRP2*$Z19^(-c_RRP))*(1-0.05)))),IF($Z19&lt;250,0,IF($Z19&lt;=1000,(a_RRP*$Z19^(-c_RRP))*(1-(0.05/750*($Z19-250))),(a_RRP*$Z19^(-c_RRP))*(1-0.05))))</f>
        <v>21.38128680617654</v>
      </c>
      <c r="AC19" s="52">
        <f>IF(OR(RoPax!$B$31="Phase 3*",RoPax!$B$31="Phase 2*",RoPax!$B$31="Phase 1*",RoPax!$B$31="Phase 0*"),IF($Z19&gt;=10000,a_RRP2*10000^(-c_RRP)*(1-0.2),IF($Z19&lt;250,0,IF($Z19&lt;=1000,(a_RRP2*$Z19^(-c_RRP))*(1-(0.2/750*($Z19-250))),(a_RRP2*$Z19^(-c_RRP))*(1-0.2)))),IF($Z19&lt;250,0,IF($Z19&lt;=1000,(a_RRP*$Z19^(-c_RRP))*(1-(0.2/750*($Z19-250))),(a_RRP*$Z19^(-c_RRP))*(1-0.2))))</f>
        <v>18.005294152569718</v>
      </c>
      <c r="AD19" s="52">
        <f>IF(OR(RoPax!$B$31="Phase 3*",RoPax!$B$31="Phase 2*",RoPax!$B$31="Phase 1*",RoPax!$B$31="Phase 0*"),IF($Z19&gt;=10000,a_RRP2*10000^(-c_RRP)*(1-0.3),IF($Z19&lt;250,0,IF($Z19&lt;=1000,(a_RRP2*$Z19^(-c_RRP))*(1-(0.3/750*($Z19-250))),(a_RRP2*$Z19^(-c_RRP))*(1-0.3)))),IF($Z19&lt;250,0,IF($Z19&lt;=1000,(a_RRP*$Z19^(-c_RRP))*(1-(0.3/750*($Z19-250))),(a_RRP*$Z19^(-c_RRP))*(1-0.3))))</f>
        <v>15.754632383498501</v>
      </c>
      <c r="AE19" s="54">
        <v>10000</v>
      </c>
      <c r="AF19" s="52">
        <f t="shared" si="21"/>
        <v>23.676045369544202</v>
      </c>
      <c r="AG19" s="52">
        <f t="shared" si="22"/>
        <v>22.49224310106699</v>
      </c>
      <c r="AH19" s="52">
        <f t="shared" si="23"/>
        <v>20.124638564112573</v>
      </c>
      <c r="AI19" s="52">
        <f t="shared" si="24"/>
        <v>16.57323175868094</v>
      </c>
      <c r="AJ19" s="54">
        <v>10000</v>
      </c>
      <c r="AK19" s="52">
        <f t="shared" si="25"/>
        <v>10.19283514262564</v>
      </c>
      <c r="AL19" s="52">
        <f t="shared" si="26"/>
        <v>9.6831933854943575</v>
      </c>
      <c r="AM19" s="52">
        <f t="shared" si="27"/>
        <v>8.6639098712317928</v>
      </c>
      <c r="AN19" s="52">
        <f t="shared" si="28"/>
        <v>7.1349845998379475</v>
      </c>
      <c r="AO19" s="54">
        <v>10000</v>
      </c>
      <c r="AP19" s="52">
        <f t="shared" si="29"/>
        <v>16.796470157626572</v>
      </c>
      <c r="AQ19" s="52">
        <f t="shared" si="30"/>
        <v>15.116823141863916</v>
      </c>
      <c r="AR19" s="52">
        <f t="shared" si="31"/>
        <v>13.437176126101258</v>
      </c>
      <c r="AS19" s="52">
        <f t="shared" si="32"/>
        <v>11.7575291103386</v>
      </c>
      <c r="AT19" s="54">
        <v>10000</v>
      </c>
      <c r="AU19" s="52">
        <f t="shared" si="4"/>
        <v>28.634928609084891</v>
      </c>
      <c r="AV19" s="52">
        <f t="shared" si="33"/>
        <v>25.771435748176401</v>
      </c>
      <c r="AW19" s="52">
        <f t="shared" si="34"/>
        <v>22.907942887267915</v>
      </c>
      <c r="AX19" s="52">
        <f t="shared" si="35"/>
        <v>20.044450026359424</v>
      </c>
      <c r="AY19" s="54">
        <v>17000</v>
      </c>
      <c r="AZ19" s="52">
        <f t="shared" si="5"/>
        <v>21.077323045402789</v>
      </c>
      <c r="BA19" s="52">
        <f t="shared" si="6"/>
        <v>18.969590740862511</v>
      </c>
      <c r="BB19" s="52">
        <f t="shared" si="7"/>
        <v>17.915724588592369</v>
      </c>
      <c r="BC19" s="52">
        <f t="shared" si="8"/>
        <v>14.754126131781952</v>
      </c>
    </row>
    <row r="20" spans="1:55" x14ac:dyDescent="0.2">
      <c r="A20" s="54">
        <v>16000</v>
      </c>
      <c r="B20" s="52">
        <f t="shared" si="9"/>
        <v>24.892578930883097</v>
      </c>
      <c r="C20" s="52">
        <f t="shared" si="10"/>
        <v>22.40332103779479</v>
      </c>
      <c r="D20" s="52">
        <f t="shared" si="11"/>
        <v>19.914063144706478</v>
      </c>
      <c r="E20" s="52">
        <f t="shared" si="12"/>
        <v>17.424805251618167</v>
      </c>
      <c r="F20" s="54">
        <v>80000</v>
      </c>
      <c r="G20" s="52">
        <f t="shared" si="13"/>
        <v>4.408657224279426</v>
      </c>
      <c r="H20" s="52">
        <f t="shared" si="14"/>
        <v>3.9677915018514835</v>
      </c>
      <c r="I20" s="52">
        <f t="shared" si="15"/>
        <v>3.5269257794235411</v>
      </c>
      <c r="J20" s="52">
        <f t="shared" si="16"/>
        <v>3.0860600569955978</v>
      </c>
      <c r="K20" s="54">
        <v>25000</v>
      </c>
      <c r="L20" s="52">
        <f t="shared" si="17"/>
        <v>12.060702805117373</v>
      </c>
      <c r="M20" s="52">
        <f t="shared" si="18"/>
        <v>10.854632524605636</v>
      </c>
      <c r="N20" s="52">
        <f t="shared" si="19"/>
        <v>10.251597384349767</v>
      </c>
      <c r="O20" s="52">
        <f t="shared" si="20"/>
        <v>8.4424919635821603</v>
      </c>
      <c r="P20" s="54">
        <v>16000</v>
      </c>
      <c r="Q20" s="52">
        <f t="shared" si="0"/>
        <v>10.822357946758965</v>
      </c>
      <c r="R20" s="52">
        <f t="shared" si="1"/>
        <v>10.010681100752043</v>
      </c>
      <c r="S20" s="52">
        <f t="shared" si="2"/>
        <v>9.1990042547451196</v>
      </c>
      <c r="T20" s="52">
        <f t="shared" si="3"/>
        <v>8.3873274087381979</v>
      </c>
      <c r="U20" s="54">
        <v>11000</v>
      </c>
      <c r="V20" s="52">
        <f>IF(OR('RoRo Cargo'!$B$29="Phase 3*",'RoRo Cargo'!$B$29="Phase 2*",'RoRo Cargo'!$B$29="Phase 1*",'RoRo Cargo'!$B$29="Phase 0*"),IF($U20&gt;=17000,a_RRC2*17000^(-c_RRC)*(1-(0/1000*($U20-1000))),IF($U20&lt;1000,0,IF($U20&lt;=2000,(a_RRC2*$U20^(-c_RRC))*(1-(0/1000*($U20-1000))),(a_RRC2*$U20^(-c_RRC))*(1-0)))),IF($U20&lt;1000,0,IF($U20&lt;=2000,(a_RRC*$U20^(-c_RRC))*(1-(0/1000*($U20-1000))),(a_RRC*$U20^(-c_RRC))*(1-0))))</f>
        <v>13.6492607526362</v>
      </c>
      <c r="W20" s="52">
        <f>IF(OR('RoRo Cargo'!$B$29="Phase 3*",'RoRo Cargo'!$B$29="Phase 2*",'RoRo Cargo'!$B$29="Phase 1*",'RoRo Cargo'!$B$29="Phase 0*"),IF($U20&gt;=17000,a_RRC2*17000^(-c_RRC)*(1-(0.05)),IF($U20&lt;1000,0,IF($U20&lt;=2000,(a_RRC2*$U20^(-c_RRC))*(1-(0.05/1000*($U20-1000))),(a_RRC2*$U20^(-c_RRC))*(1-0.05)))),IF($U20&lt;1000,0,IF($U20&lt;=2000,(a_RRC*$U20^(-c_RRC))*(1-(0.05/1000*($U20-1000))),(a_RRC*$U20^(-c_RRC))*(1-0.05))))</f>
        <v>12.96679771500439</v>
      </c>
      <c r="X20" s="52">
        <f>IF(OR('RoRo Cargo'!$B$29="Phase 3*",'RoRo Cargo'!$B$29="Phase 2*",'RoRo Cargo'!$B$29="Phase 1*",'RoRo Cargo'!$B$29="Phase 0*"),IF($U20&gt;=17000,a_RRC2*17000^(-c_RRC)*(1-(0.2)),IF($U20&lt;1000,0,IF($U20&lt;=2000,(a_RRC2*$U20^(-c_RRC))*(1-(0.2/1000*($U20-1000))),(a_RRC2*$U20^(-c_RRC))*(1-0.2)))),IF($U20&lt;1000,0,IF($U20&lt;=2000,(a_RRC*$U20^(-c_RRC))*(1-(0.2/1000*($U20-1000))),(a_RRC*$U20^(-c_RRC))*(1-0.2))))</f>
        <v>10.919408602108961</v>
      </c>
      <c r="Y20" s="52">
        <f>IF(OR('RoRo Cargo'!$B$29="Phase 3*",'RoRo Cargo'!$B$29="Phase 2*",'RoRo Cargo'!$B$29="Phase 1*",'RoRo Cargo'!$B$29="Phase 0*"),IF($U20&gt;=17000,a_RRC2*17000^(-c_RRC)*(1-(0.3)),IF($U20&lt;1000,0,IF($U20&lt;=2000,(a_RRC2*$U20^(-c_RRC))*(1-(0.3/1000*($U20-1000))),(a_RRC2*$U20^(-c_RRC))*(1-0.3)))),IF($U20&lt;1000,0,IF($U20&lt;=2000,(a_RRC*$U20^(-c_RRC))*(1-(0.3/1000*($U20-1000))),(a_RRC*$U20^(-c_RRC))*(1-0.3))))</f>
        <v>9.5544825268453391</v>
      </c>
      <c r="Z20" s="54">
        <v>11000</v>
      </c>
      <c r="AA20" s="52">
        <f>IF(OR(RoPax!$B$31="Phase 3*",RoPax!$B$31="Phase 2*",RoPax!$B$31="Phase 1*",RoPax!$B$31="Phase 0*"),IF($Z20&gt;=10000,a_RRP2*10000^(-c_RRP)*(1-0),IF($Z20&lt;250,0,IF($Z20&lt;=1000,(a_RRP2*$Z20^(-c_RRP))*(1-(0/750*($Z20-250))),(a_RRP2*$Z20^(-c_RRP))*(1-0)))),IF($Z20&lt;250,0,IF($Z20&lt;=1000,(a_RRP*$Z20^(-c_RRP))*(1-(0/750*($Z20-250))),(a_RRP*$Z20^(-c_RRP))*(1-0))))</f>
        <v>21.70399200621895</v>
      </c>
      <c r="AB20" s="52">
        <f>IF(OR(RoPax!$B$31="Phase 3*",RoPax!$B$31="Phase 2*",RoPax!$B$31="Phase 1*",RoPax!$B$31="Phase 0*"),IF($Z20&gt;=10000,a_RRP2*10000^(-c_RRP)*(1-0.05),IF($Z20&lt;250,0,IF($Z20&lt;=1000,(a_RRP2*$Z20^(-c_RRP))*(1-(0.05/750*($Z20-250))),(a_RRP2*$Z20^(-c_RRP))*(1-0.05)))),IF($Z20&lt;250,0,IF($Z20&lt;=1000,(a_RRP*$Z20^(-c_RRP))*(1-(0.05/750*($Z20-250))),(a_RRP*$Z20^(-c_RRP))*(1-0.05))))</f>
        <v>20.618792405908003</v>
      </c>
      <c r="AC20" s="52">
        <f>IF(OR(RoPax!$B$31="Phase 3*",RoPax!$B$31="Phase 2*",RoPax!$B$31="Phase 1*",RoPax!$B$31="Phase 0*"),IF($Z20&gt;=10000,a_RRP2*10000^(-c_RRP)*(1-0.2),IF($Z20&lt;250,0,IF($Z20&lt;=1000,(a_RRP2*$Z20^(-c_RRP))*(1-(0.2/750*($Z20-250))),(a_RRP2*$Z20^(-c_RRP))*(1-0.2)))),IF($Z20&lt;250,0,IF($Z20&lt;=1000,(a_RRP*$Z20^(-c_RRP))*(1-(0.2/750*($Z20-250))),(a_RRP*$Z20^(-c_RRP))*(1-0.2))))</f>
        <v>17.363193604975162</v>
      </c>
      <c r="AD20" s="52">
        <f>IF(OR(RoPax!$B$31="Phase 3*",RoPax!$B$31="Phase 2*",RoPax!$B$31="Phase 1*",RoPax!$B$31="Phase 0*"),IF($Z20&gt;=10000,a_RRP2*10000^(-c_RRP)*(1-0.3),IF($Z20&lt;250,0,IF($Z20&lt;=1000,(a_RRP2*$Z20^(-c_RRP))*(1-(0.3/750*($Z20-250))),(a_RRP2*$Z20^(-c_RRP))*(1-0.3)))),IF($Z20&lt;250,0,IF($Z20&lt;=1000,(a_RRP*$Z20^(-c_RRP))*(1-(0.3/750*($Z20-250))),(a_RRP*$Z20^(-c_RRP))*(1-0.3))))</f>
        <v>15.192794404353265</v>
      </c>
      <c r="AE20" s="54">
        <v>11000</v>
      </c>
      <c r="AF20" s="52">
        <f t="shared" si="21"/>
        <v>22.636704876226432</v>
      </c>
      <c r="AG20" s="52">
        <f t="shared" si="22"/>
        <v>21.504869632415108</v>
      </c>
      <c r="AH20" s="52">
        <f t="shared" si="23"/>
        <v>19.241199144792468</v>
      </c>
      <c r="AI20" s="52">
        <f t="shared" si="24"/>
        <v>15.845693413358502</v>
      </c>
      <c r="AJ20" s="54">
        <v>11000</v>
      </c>
      <c r="AK20" s="52">
        <f t="shared" si="25"/>
        <v>9.7453859956042095</v>
      </c>
      <c r="AL20" s="52">
        <f t="shared" si="26"/>
        <v>9.2581166958239987</v>
      </c>
      <c r="AM20" s="52">
        <f t="shared" si="27"/>
        <v>8.283578096263577</v>
      </c>
      <c r="AN20" s="52">
        <f t="shared" si="28"/>
        <v>6.8217701969229463</v>
      </c>
      <c r="AO20" s="54">
        <v>11000</v>
      </c>
      <c r="AP20" s="52">
        <f t="shared" si="29"/>
        <v>16.082107404820199</v>
      </c>
      <c r="AQ20" s="52">
        <f t="shared" si="30"/>
        <v>14.473896664338179</v>
      </c>
      <c r="AR20" s="52">
        <f t="shared" si="31"/>
        <v>12.86568592385616</v>
      </c>
      <c r="AS20" s="52">
        <f t="shared" si="32"/>
        <v>11.257475183374138</v>
      </c>
      <c r="AT20" s="54">
        <v>11000</v>
      </c>
      <c r="AU20" s="52">
        <f t="shared" si="4"/>
        <v>27.370074020296418</v>
      </c>
      <c r="AV20" s="52">
        <f t="shared" si="33"/>
        <v>24.633066618266778</v>
      </c>
      <c r="AW20" s="52">
        <f t="shared" si="34"/>
        <v>21.896059216237134</v>
      </c>
      <c r="AX20" s="52">
        <f t="shared" si="35"/>
        <v>19.159051814207491</v>
      </c>
      <c r="AY20" s="54">
        <v>18000</v>
      </c>
      <c r="AZ20" s="52">
        <f t="shared" si="5"/>
        <v>20.785405304626543</v>
      </c>
      <c r="BA20" s="52">
        <f t="shared" si="6"/>
        <v>18.70686477416389</v>
      </c>
      <c r="BB20" s="52">
        <f t="shared" si="7"/>
        <v>17.667594508932563</v>
      </c>
      <c r="BC20" s="52">
        <f t="shared" si="8"/>
        <v>14.549783713238579</v>
      </c>
    </row>
    <row r="21" spans="1:55" x14ac:dyDescent="0.2">
      <c r="A21" s="54">
        <v>17000</v>
      </c>
      <c r="B21" s="52">
        <f t="shared" si="9"/>
        <v>24.591089826686087</v>
      </c>
      <c r="C21" s="52">
        <f t="shared" si="10"/>
        <v>22.13198084401748</v>
      </c>
      <c r="D21" s="52">
        <f t="shared" si="11"/>
        <v>19.67287186134887</v>
      </c>
      <c r="E21" s="52">
        <f t="shared" si="12"/>
        <v>17.21376287868026</v>
      </c>
      <c r="F21" s="54">
        <v>90000</v>
      </c>
      <c r="G21" s="52">
        <f t="shared" si="13"/>
        <v>4.167797216496834</v>
      </c>
      <c r="H21" s="52">
        <f t="shared" si="14"/>
        <v>3.7510174948471509</v>
      </c>
      <c r="I21" s="52">
        <f t="shared" si="15"/>
        <v>3.3342377731974673</v>
      </c>
      <c r="J21" s="52">
        <f t="shared" si="16"/>
        <v>2.9174580515477837</v>
      </c>
      <c r="K21" s="54">
        <v>27500</v>
      </c>
      <c r="L21" s="52">
        <f t="shared" si="17"/>
        <v>11.814947492354603</v>
      </c>
      <c r="M21" s="52">
        <f t="shared" si="18"/>
        <v>10.633452743119143</v>
      </c>
      <c r="N21" s="52">
        <f t="shared" si="19"/>
        <v>10.042705368501412</v>
      </c>
      <c r="O21" s="52">
        <f t="shared" si="20"/>
        <v>8.2704632446482211</v>
      </c>
      <c r="P21" s="54">
        <v>17000</v>
      </c>
      <c r="Q21" s="52">
        <f t="shared" si="0"/>
        <v>10.506870316704948</v>
      </c>
      <c r="R21" s="52">
        <f t="shared" si="1"/>
        <v>9.6531871034726695</v>
      </c>
      <c r="S21" s="52">
        <f t="shared" si="2"/>
        <v>8.7995038902403948</v>
      </c>
      <c r="T21" s="52">
        <f t="shared" si="3"/>
        <v>7.9458206770081174</v>
      </c>
      <c r="U21" s="54">
        <v>12000</v>
      </c>
      <c r="V21" s="52">
        <f>IF(OR('RoRo Cargo'!$B$29="Phase 3*",'RoRo Cargo'!$B$29="Phase 2*",'RoRo Cargo'!$B$29="Phase 1*",'RoRo Cargo'!$B$29="Phase 0*"),IF($U21&gt;=17000,a_RRC2*17000^(-c_RRC)*(1-(0/1000*($U21-1000))),IF($U21&lt;1000,0,IF($U21&lt;=2000,(a_RRC2*$U21^(-c_RRC))*(1-(0/1000*($U21-1000))),(a_RRC2*$U21^(-c_RRC))*(1-0)))),IF($U21&lt;1000,0,IF($U21&lt;=2000,(a_RRC*$U21^(-c_RRC))*(1-(0/1000*($U21-1000))),(a_RRC*$U21^(-c_RRC))*(1-0))))</f>
        <v>13.070446602621418</v>
      </c>
      <c r="W21" s="52">
        <f>IF(OR('RoRo Cargo'!$B$29="Phase 3*",'RoRo Cargo'!$B$29="Phase 2*",'RoRo Cargo'!$B$29="Phase 1*",'RoRo Cargo'!$B$29="Phase 0*"),IF($U21&gt;=17000,a_RRC2*17000^(-c_RRC)*(1-(0.05)),IF($U21&lt;1000,0,IF($U21&lt;=2000,(a_RRC2*$U21^(-c_RRC))*(1-(0.05/1000*($U21-1000))),(a_RRC2*$U21^(-c_RRC))*(1-0.05)))),IF($U21&lt;1000,0,IF($U21&lt;=2000,(a_RRC*$U21^(-c_RRC))*(1-(0.05/1000*($U21-1000))),(a_RRC*$U21^(-c_RRC))*(1-0.05))))</f>
        <v>12.416924272490347</v>
      </c>
      <c r="X21" s="52">
        <f>IF(OR('RoRo Cargo'!$B$29="Phase 3*",'RoRo Cargo'!$B$29="Phase 2*",'RoRo Cargo'!$B$29="Phase 1*",'RoRo Cargo'!$B$29="Phase 0*"),IF($U21&gt;=17000,a_RRC2*17000^(-c_RRC)*(1-(0.2)),IF($U21&lt;1000,0,IF($U21&lt;=2000,(a_RRC2*$U21^(-c_RRC))*(1-(0.2/1000*($U21-1000))),(a_RRC2*$U21^(-c_RRC))*(1-0.2)))),IF($U21&lt;1000,0,IF($U21&lt;=2000,(a_RRC*$U21^(-c_RRC))*(1-(0.2/1000*($U21-1000))),(a_RRC*$U21^(-c_RRC))*(1-0.2))))</f>
        <v>10.456357282097136</v>
      </c>
      <c r="Y21" s="52">
        <f>IF(OR('RoRo Cargo'!$B$29="Phase 3*",'RoRo Cargo'!$B$29="Phase 2*",'RoRo Cargo'!$B$29="Phase 1*",'RoRo Cargo'!$B$29="Phase 0*"),IF($U21&gt;=17000,a_RRC2*17000^(-c_RRC)*(1-(0.3)),IF($U21&lt;1000,0,IF($U21&lt;=2000,(a_RRC2*$U21^(-c_RRC))*(1-(0.3/1000*($U21-1000))),(a_RRC2*$U21^(-c_RRC))*(1-0.3)))),IF($U21&lt;1000,0,IF($U21&lt;=2000,(a_RRC*$U21^(-c_RRC))*(1-(0.3/1000*($U21-1000))),(a_RRC*$U21^(-c_RRC))*(1-0.3))))</f>
        <v>9.1493126218349925</v>
      </c>
      <c r="Z21" s="54">
        <v>12000</v>
      </c>
      <c r="AA21" s="52">
        <f>IF(OR(RoPax!$B$31="Phase 3*",RoPax!$B$31="Phase 2*",RoPax!$B$31="Phase 1*",RoPax!$B$31="Phase 0*"),IF($Z21&gt;=10000,a_RRP2*10000^(-c_RRP)*(1-0),IF($Z21&lt;250,0,IF($Z21&lt;=1000,(a_RRP2*$Z21^(-c_RRP))*(1-(0/750*($Z21-250))),(a_RRP2*$Z21^(-c_RRP))*(1-0)))),IF($Z21&lt;250,0,IF($Z21&lt;=1000,(a_RRP*$Z21^(-c_RRP))*(1-(0/750*($Z21-250))),(a_RRP*$Z21^(-c_RRP))*(1-0))))</f>
        <v>20.996271459549998</v>
      </c>
      <c r="AB21" s="52">
        <f>IF(OR(RoPax!$B$31="Phase 3*",RoPax!$B$31="Phase 2*",RoPax!$B$31="Phase 1*",RoPax!$B$31="Phase 0*"),IF($Z21&gt;=10000,a_RRP2*10000^(-c_RRP)*(1-0.05),IF($Z21&lt;250,0,IF($Z21&lt;=1000,(a_RRP2*$Z21^(-c_RRP))*(1-(0.05/750*($Z21-250))),(a_RRP2*$Z21^(-c_RRP))*(1-0.05)))),IF($Z21&lt;250,0,IF($Z21&lt;=1000,(a_RRP*$Z21^(-c_RRP))*(1-(0.05/750*($Z21-250))),(a_RRP*$Z21^(-c_RRP))*(1-0.05))))</f>
        <v>19.946457886572496</v>
      </c>
      <c r="AC21" s="52">
        <f>IF(OR(RoPax!$B$31="Phase 3*",RoPax!$B$31="Phase 2*",RoPax!$B$31="Phase 1*",RoPax!$B$31="Phase 0*"),IF($Z21&gt;=10000,a_RRP2*10000^(-c_RRP)*(1-0.2),IF($Z21&lt;250,0,IF($Z21&lt;=1000,(a_RRP2*$Z21^(-c_RRP))*(1-(0.2/750*($Z21-250))),(a_RRP2*$Z21^(-c_RRP))*(1-0.2)))),IF($Z21&lt;250,0,IF($Z21&lt;=1000,(a_RRP*$Z21^(-c_RRP))*(1-(0.2/750*($Z21-250))),(a_RRP*$Z21^(-c_RRP))*(1-0.2))))</f>
        <v>16.79701716764</v>
      </c>
      <c r="AD21" s="52">
        <f>IF(OR(RoPax!$B$31="Phase 3*",RoPax!$B$31="Phase 2*",RoPax!$B$31="Phase 1*",RoPax!$B$31="Phase 0*"),IF($Z21&gt;=10000,a_RRP2*10000^(-c_RRP)*(1-0.3),IF($Z21&lt;250,0,IF($Z21&lt;=1000,(a_RRP2*$Z21^(-c_RRP))*(1-(0.3/750*($Z21-250))),(a_RRP2*$Z21^(-c_RRP))*(1-0.3)))),IF($Z21&lt;250,0,IF($Z21&lt;=1000,(a_RRP*$Z21^(-c_RRP))*(1-(0.3/750*($Z21-250))),(a_RRP*$Z21^(-c_RRP))*(1-0.3))))</f>
        <v>14.697390021684997</v>
      </c>
      <c r="AE21" s="54">
        <v>12000</v>
      </c>
      <c r="AF21" s="52">
        <f t="shared" si="21"/>
        <v>21.727752051640657</v>
      </c>
      <c r="AG21" s="52">
        <f t="shared" si="22"/>
        <v>20.641364449058624</v>
      </c>
      <c r="AH21" s="52">
        <f t="shared" si="23"/>
        <v>18.468589243894559</v>
      </c>
      <c r="AI21" s="52">
        <f t="shared" si="24"/>
        <v>15.209426436148458</v>
      </c>
      <c r="AJ21" s="54">
        <v>12000</v>
      </c>
      <c r="AK21" s="52">
        <f t="shared" si="25"/>
        <v>9.354070378962227</v>
      </c>
      <c r="AL21" s="52">
        <f t="shared" si="26"/>
        <v>8.8863668600141157</v>
      </c>
      <c r="AM21" s="52">
        <f t="shared" si="27"/>
        <v>7.950959822117893</v>
      </c>
      <c r="AN21" s="52">
        <f t="shared" si="28"/>
        <v>6.5478492652735589</v>
      </c>
      <c r="AO21" s="54">
        <v>12000</v>
      </c>
      <c r="AP21" s="52">
        <f t="shared" si="29"/>
        <v>15.456507696203813</v>
      </c>
      <c r="AQ21" s="52">
        <f t="shared" si="30"/>
        <v>13.910856926583431</v>
      </c>
      <c r="AR21" s="52">
        <f t="shared" si="31"/>
        <v>12.365206156963051</v>
      </c>
      <c r="AS21" s="52">
        <f t="shared" si="32"/>
        <v>10.819555387342669</v>
      </c>
      <c r="AT21" s="54">
        <v>12000</v>
      </c>
      <c r="AU21" s="52">
        <f t="shared" si="4"/>
        <v>26.264201040876134</v>
      </c>
      <c r="AV21" s="52">
        <f t="shared" si="33"/>
        <v>23.63778093678852</v>
      </c>
      <c r="AW21" s="52">
        <f t="shared" si="34"/>
        <v>21.011360832700909</v>
      </c>
      <c r="AX21" s="52">
        <f t="shared" si="35"/>
        <v>18.384940728613294</v>
      </c>
      <c r="AY21" s="54">
        <v>19000</v>
      </c>
      <c r="AZ21" s="52">
        <f t="shared" si="5"/>
        <v>20.512996695074676</v>
      </c>
      <c r="BA21" s="52">
        <f t="shared" si="6"/>
        <v>18.461697025567208</v>
      </c>
      <c r="BB21" s="52">
        <f t="shared" si="7"/>
        <v>17.436047190813476</v>
      </c>
      <c r="BC21" s="52">
        <f t="shared" si="8"/>
        <v>14.359097686552273</v>
      </c>
    </row>
    <row r="22" spans="1:55" x14ac:dyDescent="0.2">
      <c r="A22" s="54">
        <v>18000</v>
      </c>
      <c r="B22" s="52">
        <f t="shared" si="9"/>
        <v>24.310183435447826</v>
      </c>
      <c r="C22" s="52">
        <f t="shared" si="10"/>
        <v>21.879165091903044</v>
      </c>
      <c r="D22" s="52">
        <f t="shared" si="11"/>
        <v>19.448146748358262</v>
      </c>
      <c r="E22" s="52">
        <f t="shared" si="12"/>
        <v>17.017128404813477</v>
      </c>
      <c r="F22" s="54">
        <v>100000</v>
      </c>
      <c r="G22" s="52">
        <f t="shared" si="13"/>
        <v>3.9635127289262146</v>
      </c>
      <c r="H22" s="52">
        <f t="shared" si="14"/>
        <v>3.5671614560335931</v>
      </c>
      <c r="I22" s="52">
        <f t="shared" si="15"/>
        <v>3.1708101831409721</v>
      </c>
      <c r="J22" s="52">
        <f t="shared" si="16"/>
        <v>2.7744589102483501</v>
      </c>
      <c r="K22" s="54">
        <v>30000</v>
      </c>
      <c r="L22" s="52">
        <f t="shared" si="17"/>
        <v>11.594965659610438</v>
      </c>
      <c r="M22" s="52">
        <f t="shared" si="18"/>
        <v>10.435469093649393</v>
      </c>
      <c r="N22" s="52">
        <f t="shared" si="19"/>
        <v>9.8557208106688723</v>
      </c>
      <c r="O22" s="52">
        <f t="shared" si="20"/>
        <v>8.1164759617273052</v>
      </c>
      <c r="P22" s="54">
        <v>18000</v>
      </c>
      <c r="Q22" s="52">
        <f t="shared" si="0"/>
        <v>10.217848592906108</v>
      </c>
      <c r="R22" s="52">
        <f t="shared" si="1"/>
        <v>9.3237868410268234</v>
      </c>
      <c r="S22" s="52">
        <f t="shared" si="2"/>
        <v>8.4297250891475386</v>
      </c>
      <c r="T22" s="52">
        <f t="shared" si="3"/>
        <v>7.5356633372682555</v>
      </c>
      <c r="U22" s="54">
        <v>13000</v>
      </c>
      <c r="V22" s="52">
        <f>IF(OR('RoRo Cargo'!$B$29="Phase 3*",'RoRo Cargo'!$B$29="Phase 2*",'RoRo Cargo'!$B$29="Phase 1*",'RoRo Cargo'!$B$29="Phase 0*"),IF($U22&gt;=17000,a_RRC2*17000^(-c_RRC)*(1-(0/1000*($U22-1000))),IF($U22&lt;1000,0,IF($U22&lt;=2000,(a_RRC2*$U22^(-c_RRC))*(1-(0/1000*($U22-1000))),(a_RRC2*$U22^(-c_RRC))*(1-0)))),IF($U22&lt;1000,0,IF($U22&lt;=2000,(a_RRC*$U22^(-c_RRC))*(1-(0/1000*($U22-1000))),(a_RRC*$U22^(-c_RRC))*(1-0))))</f>
        <v>12.559689365476016</v>
      </c>
      <c r="W22" s="52">
        <f>IF(OR('RoRo Cargo'!$B$29="Phase 3*",'RoRo Cargo'!$B$29="Phase 2*",'RoRo Cargo'!$B$29="Phase 1*",'RoRo Cargo'!$B$29="Phase 0*"),IF($U22&gt;=17000,a_RRC2*17000^(-c_RRC)*(1-(0.05)),IF($U22&lt;1000,0,IF($U22&lt;=2000,(a_RRC2*$U22^(-c_RRC))*(1-(0.05/1000*($U22-1000))),(a_RRC2*$U22^(-c_RRC))*(1-0.05)))),IF($U22&lt;1000,0,IF($U22&lt;=2000,(a_RRC*$U22^(-c_RRC))*(1-(0.05/1000*($U22-1000))),(a_RRC*$U22^(-c_RRC))*(1-0.05))))</f>
        <v>11.931704897202215</v>
      </c>
      <c r="X22" s="52">
        <f>IF(OR('RoRo Cargo'!$B$29="Phase 3*",'RoRo Cargo'!$B$29="Phase 2*",'RoRo Cargo'!$B$29="Phase 1*",'RoRo Cargo'!$B$29="Phase 0*"),IF($U22&gt;=17000,a_RRC2*17000^(-c_RRC)*(1-(0.2)),IF($U22&lt;1000,0,IF($U22&lt;=2000,(a_RRC2*$U22^(-c_RRC))*(1-(0.2/1000*($U22-1000))),(a_RRC2*$U22^(-c_RRC))*(1-0.2)))),IF($U22&lt;1000,0,IF($U22&lt;=2000,(a_RRC*$U22^(-c_RRC))*(1-(0.2/1000*($U22-1000))),(a_RRC*$U22^(-c_RRC))*(1-0.2))))</f>
        <v>10.047751492380813</v>
      </c>
      <c r="Y22" s="52">
        <f>IF(OR('RoRo Cargo'!$B$29="Phase 3*",'RoRo Cargo'!$B$29="Phase 2*",'RoRo Cargo'!$B$29="Phase 1*",'RoRo Cargo'!$B$29="Phase 0*"),IF($U22&gt;=17000,a_RRC2*17000^(-c_RRC)*(1-(0.3)),IF($U22&lt;1000,0,IF($U22&lt;=2000,(a_RRC2*$U22^(-c_RRC))*(1-(0.3/1000*($U22-1000))),(a_RRC2*$U22^(-c_RRC))*(1-0.3)))),IF($U22&lt;1000,0,IF($U22&lt;=2000,(a_RRC*$U22^(-c_RRC))*(1-(0.3/1000*($U22-1000))),(a_RRC*$U22^(-c_RRC))*(1-0.3))))</f>
        <v>8.7917825558332101</v>
      </c>
      <c r="Z22" s="54">
        <v>13000</v>
      </c>
      <c r="AA22" s="52">
        <f>IF(OR(RoPax!$B$31="Phase 3*",RoPax!$B$31="Phase 2*",RoPax!$B$31="Phase 1*",RoPax!$B$31="Phase 0*"),IF($Z22&gt;=10000,a_RRP2*10000^(-c_RRP)*(1-0),IF($Z22&lt;250,0,IF($Z22&lt;=1000,(a_RRP2*$Z22^(-c_RRP))*(1-(0/750*($Z22-250))),(a_RRP2*$Z22^(-c_RRP))*(1-0)))),IF($Z22&lt;250,0,IF($Z22&lt;=1000,(a_RRP*$Z22^(-c_RRP))*(1-(0/750*($Z22-250))),(a_RRP*$Z22^(-c_RRP))*(1-0))))</f>
        <v>20.365628467292197</v>
      </c>
      <c r="AB22" s="52">
        <f>IF(OR(RoPax!$B$31="Phase 3*",RoPax!$B$31="Phase 2*",RoPax!$B$31="Phase 1*",RoPax!$B$31="Phase 0*"),IF($Z22&gt;=10000,a_RRP2*10000^(-c_RRP)*(1-0.05),IF($Z22&lt;250,0,IF($Z22&lt;=1000,(a_RRP2*$Z22^(-c_RRP))*(1-(0.05/750*($Z22-250))),(a_RRP2*$Z22^(-c_RRP))*(1-0.05)))),IF($Z22&lt;250,0,IF($Z22&lt;=1000,(a_RRP*$Z22^(-c_RRP))*(1-(0.05/750*($Z22-250))),(a_RRP*$Z22^(-c_RRP))*(1-0.05))))</f>
        <v>19.347347043927588</v>
      </c>
      <c r="AC22" s="52">
        <f>IF(OR(RoPax!$B$31="Phase 3*",RoPax!$B$31="Phase 2*",RoPax!$B$31="Phase 1*",RoPax!$B$31="Phase 0*"),IF($Z22&gt;=10000,a_RRP2*10000^(-c_RRP)*(1-0.2),IF($Z22&lt;250,0,IF($Z22&lt;=1000,(a_RRP2*$Z22^(-c_RRP))*(1-(0.2/750*($Z22-250))),(a_RRP2*$Z22^(-c_RRP))*(1-0.2)))),IF($Z22&lt;250,0,IF($Z22&lt;=1000,(a_RRP*$Z22^(-c_RRP))*(1-(0.2/750*($Z22-250))),(a_RRP*$Z22^(-c_RRP))*(1-0.2))))</f>
        <v>16.292502773833757</v>
      </c>
      <c r="AD22" s="52">
        <f>IF(OR(RoPax!$B$31="Phase 3*",RoPax!$B$31="Phase 2*",RoPax!$B$31="Phase 1*",RoPax!$B$31="Phase 0*"),IF($Z22&gt;=10000,a_RRP2*10000^(-c_RRP)*(1-0.3),IF($Z22&lt;250,0,IF($Z22&lt;=1000,(a_RRP2*$Z22^(-c_RRP))*(1-(0.3/750*($Z22-250))),(a_RRP2*$Z22^(-c_RRP))*(1-0.3)))),IF($Z22&lt;250,0,IF($Z22&lt;=1000,(a_RRP*$Z22^(-c_RRP))*(1-(0.3/750*($Z22-250))),(a_RRP*$Z22^(-c_RRP))*(1-0.3))))</f>
        <v>14.255939927104537</v>
      </c>
      <c r="AE22" s="54">
        <v>13000</v>
      </c>
      <c r="AF22" s="52">
        <f t="shared" si="21"/>
        <v>20.923861881579068</v>
      </c>
      <c r="AG22" s="52">
        <f t="shared" si="22"/>
        <v>19.877668787500113</v>
      </c>
      <c r="AH22" s="52">
        <f t="shared" si="23"/>
        <v>17.785282599342207</v>
      </c>
      <c r="AI22" s="52">
        <f t="shared" si="24"/>
        <v>14.646703317105347</v>
      </c>
      <c r="AJ22" s="54">
        <v>13000</v>
      </c>
      <c r="AK22" s="52">
        <f t="shared" si="25"/>
        <v>9.0079855557444386</v>
      </c>
      <c r="AL22" s="52">
        <f t="shared" si="26"/>
        <v>8.5575862779572169</v>
      </c>
      <c r="AM22" s="52">
        <f t="shared" si="27"/>
        <v>7.6567877223827727</v>
      </c>
      <c r="AN22" s="52">
        <f t="shared" si="28"/>
        <v>6.3055898890211068</v>
      </c>
      <c r="AO22" s="54">
        <v>13000</v>
      </c>
      <c r="AP22" s="52">
        <f t="shared" si="29"/>
        <v>14.902524826972895</v>
      </c>
      <c r="AQ22" s="52">
        <f t="shared" si="30"/>
        <v>13.412272344275605</v>
      </c>
      <c r="AR22" s="52">
        <f t="shared" si="31"/>
        <v>11.922019861578317</v>
      </c>
      <c r="AS22" s="52">
        <f t="shared" si="32"/>
        <v>10.431767378881027</v>
      </c>
      <c r="AT22" s="54">
        <v>13000</v>
      </c>
      <c r="AU22" s="52">
        <f t="shared" si="4"/>
        <v>25.286397207254801</v>
      </c>
      <c r="AV22" s="52">
        <f t="shared" si="33"/>
        <v>22.757757486529322</v>
      </c>
      <c r="AW22" s="52">
        <f t="shared" si="34"/>
        <v>20.229117765803842</v>
      </c>
      <c r="AX22" s="52">
        <f t="shared" si="35"/>
        <v>17.700478045078359</v>
      </c>
      <c r="AY22" s="54">
        <v>20000</v>
      </c>
      <c r="AZ22" s="52">
        <f t="shared" si="5"/>
        <v>20.257864865230221</v>
      </c>
      <c r="BA22" s="52">
        <f t="shared" si="6"/>
        <v>18.2320783787072</v>
      </c>
      <c r="BB22" s="52">
        <f t="shared" si="7"/>
        <v>17.219185135445688</v>
      </c>
      <c r="BC22" s="52">
        <f t="shared" si="8"/>
        <v>14.180505405661155</v>
      </c>
    </row>
    <row r="23" spans="1:55" x14ac:dyDescent="0.2">
      <c r="A23" s="54">
        <v>19000</v>
      </c>
      <c r="B23" s="52">
        <f t="shared" si="9"/>
        <v>24.047422602241777</v>
      </c>
      <c r="C23" s="52">
        <f t="shared" si="10"/>
        <v>21.642680342017599</v>
      </c>
      <c r="D23" s="52">
        <f t="shared" si="11"/>
        <v>19.237938081793423</v>
      </c>
      <c r="E23" s="52">
        <f t="shared" si="12"/>
        <v>16.833195821569245</v>
      </c>
      <c r="F23" s="54">
        <v>110000</v>
      </c>
      <c r="G23" s="52">
        <f t="shared" si="13"/>
        <v>3.7873544045741383</v>
      </c>
      <c r="H23" s="52">
        <f t="shared" si="14"/>
        <v>3.4086189641167244</v>
      </c>
      <c r="I23" s="52">
        <f t="shared" si="15"/>
        <v>3.0298835236593109</v>
      </c>
      <c r="J23" s="52">
        <f t="shared" si="16"/>
        <v>2.6511480832018965</v>
      </c>
      <c r="K23" s="54">
        <v>32500</v>
      </c>
      <c r="L23" s="52">
        <f t="shared" si="17"/>
        <v>11.396220714793872</v>
      </c>
      <c r="M23" s="52">
        <f t="shared" si="18"/>
        <v>10.256598643314485</v>
      </c>
      <c r="N23" s="52">
        <f t="shared" si="19"/>
        <v>9.6867876075747912</v>
      </c>
      <c r="O23" s="52">
        <f t="shared" si="20"/>
        <v>7.9773545003557098</v>
      </c>
      <c r="P23" s="54">
        <v>19000</v>
      </c>
      <c r="Q23" s="52">
        <f t="shared" si="0"/>
        <v>9.9517782036231939</v>
      </c>
      <c r="R23" s="52">
        <f t="shared" si="1"/>
        <v>9.0187989970335192</v>
      </c>
      <c r="S23" s="52">
        <f t="shared" si="2"/>
        <v>8.0858197904438445</v>
      </c>
      <c r="T23" s="52">
        <f t="shared" si="3"/>
        <v>7.1528405838541707</v>
      </c>
      <c r="U23" s="54">
        <v>14000</v>
      </c>
      <c r="V23" s="52">
        <f>IF(OR('RoRo Cargo'!$B$29="Phase 3*",'RoRo Cargo'!$B$29="Phase 2*",'RoRo Cargo'!$B$29="Phase 1*",'RoRo Cargo'!$B$29="Phase 0*"),IF($U23&gt;=17000,a_RRC2*17000^(-c_RRC)*(1-(0/1000*($U23-1000))),IF($U23&lt;1000,0,IF($U23&lt;=2000,(a_RRC2*$U23^(-c_RRC))*(1-(0/1000*($U23-1000))),(a_RRC2*$U23^(-c_RRC))*(1-0)))),IF($U23&lt;1000,0,IF($U23&lt;=2000,(a_RRC*$U23^(-c_RRC))*(1-(0/1000*($U23-1000))),(a_RRC*$U23^(-c_RRC))*(1-0))))</f>
        <v>12.104613471291064</v>
      </c>
      <c r="W23" s="52">
        <f>IF(OR('RoRo Cargo'!$B$29="Phase 3*",'RoRo Cargo'!$B$29="Phase 2*",'RoRo Cargo'!$B$29="Phase 1*",'RoRo Cargo'!$B$29="Phase 0*"),IF($U23&gt;=17000,a_RRC2*17000^(-c_RRC)*(1-(0.05)),IF($U23&lt;1000,0,IF($U23&lt;=2000,(a_RRC2*$U23^(-c_RRC))*(1-(0.05/1000*($U23-1000))),(a_RRC2*$U23^(-c_RRC))*(1-0.05)))),IF($U23&lt;1000,0,IF($U23&lt;=2000,(a_RRC*$U23^(-c_RRC))*(1-(0.05/1000*($U23-1000))),(a_RRC*$U23^(-c_RRC))*(1-0.05))))</f>
        <v>11.49938279772651</v>
      </c>
      <c r="X23" s="52">
        <f>IF(OR('RoRo Cargo'!$B$29="Phase 3*",'RoRo Cargo'!$B$29="Phase 2*",'RoRo Cargo'!$B$29="Phase 1*",'RoRo Cargo'!$B$29="Phase 0*"),IF($U23&gt;=17000,a_RRC2*17000^(-c_RRC)*(1-(0.2)),IF($U23&lt;1000,0,IF($U23&lt;=2000,(a_RRC2*$U23^(-c_RRC))*(1-(0.2/1000*($U23-1000))),(a_RRC2*$U23^(-c_RRC))*(1-0.2)))),IF($U23&lt;1000,0,IF($U23&lt;=2000,(a_RRC*$U23^(-c_RRC))*(1-(0.2/1000*($U23-1000))),(a_RRC*$U23^(-c_RRC))*(1-0.2))))</f>
        <v>9.6836907770328509</v>
      </c>
      <c r="Y23" s="52">
        <f>IF(OR('RoRo Cargo'!$B$29="Phase 3*",'RoRo Cargo'!$B$29="Phase 2*",'RoRo Cargo'!$B$29="Phase 1*",'RoRo Cargo'!$B$29="Phase 0*"),IF($U23&gt;=17000,a_RRC2*17000^(-c_RRC)*(1-(0.3)),IF($U23&lt;1000,0,IF($U23&lt;=2000,(a_RRC2*$U23^(-c_RRC))*(1-(0.3/1000*($U23-1000))),(a_RRC2*$U23^(-c_RRC))*(1-0.3)))),IF($U23&lt;1000,0,IF($U23&lt;=2000,(a_RRC*$U23^(-c_RRC))*(1-(0.3/1000*($U23-1000))),(a_RRC*$U23^(-c_RRC))*(1-0.3))))</f>
        <v>8.4732294299037445</v>
      </c>
      <c r="Z23" s="54">
        <v>14000</v>
      </c>
      <c r="AA23" s="52">
        <f>IF(OR(RoPax!$B$31="Phase 3*",RoPax!$B$31="Phase 2*",RoPax!$B$31="Phase 1*",RoPax!$B$31="Phase 0*"),IF($Z23&gt;=10000,a_RRP2*10000^(-c_RRP)*(1-0),IF($Z23&lt;250,0,IF($Z23&lt;=1000,(a_RRP2*$Z23^(-c_RRP))*(1-(0/750*($Z23-250))),(a_RRP2*$Z23^(-c_RRP))*(1-0)))),IF($Z23&lt;250,0,IF($Z23&lt;=1000,(a_RRP*$Z23^(-c_RRP))*(1-(0/750*($Z23-250))),(a_RRP*$Z23^(-c_RRP))*(1-0))))</f>
        <v>19.798644255271881</v>
      </c>
      <c r="AB23" s="52">
        <f>IF(OR(RoPax!$B$31="Phase 3*",RoPax!$B$31="Phase 2*",RoPax!$B$31="Phase 1*",RoPax!$B$31="Phase 0*"),IF($Z23&gt;=10000,a_RRP2*10000^(-c_RRP)*(1-0.05),IF($Z23&lt;250,0,IF($Z23&lt;=1000,(a_RRP2*$Z23^(-c_RRP))*(1-(0.05/750*($Z23-250))),(a_RRP2*$Z23^(-c_RRP))*(1-0.05)))),IF($Z23&lt;250,0,IF($Z23&lt;=1000,(a_RRP*$Z23^(-c_RRP))*(1-(0.05/750*($Z23-250))),(a_RRP*$Z23^(-c_RRP))*(1-0.05))))</f>
        <v>18.808712042508287</v>
      </c>
      <c r="AC23" s="52">
        <f>IF(OR(RoPax!$B$31="Phase 3*",RoPax!$B$31="Phase 2*",RoPax!$B$31="Phase 1*",RoPax!$B$31="Phase 0*"),IF($Z23&gt;=10000,a_RRP2*10000^(-c_RRP)*(1-0.2),IF($Z23&lt;250,0,IF($Z23&lt;=1000,(a_RRP2*$Z23^(-c_RRP))*(1-(0.2/750*($Z23-250))),(a_RRP2*$Z23^(-c_RRP))*(1-0.2)))),IF($Z23&lt;250,0,IF($Z23&lt;=1000,(a_RRP*$Z23^(-c_RRP))*(1-(0.2/750*($Z23-250))),(a_RRP*$Z23^(-c_RRP))*(1-0.2))))</f>
        <v>15.838915404217506</v>
      </c>
      <c r="AD23" s="52">
        <f>IF(OR(RoPax!$B$31="Phase 3*",RoPax!$B$31="Phase 2*",RoPax!$B$31="Phase 1*",RoPax!$B$31="Phase 0*"),IF($Z23&gt;=10000,a_RRP2*10000^(-c_RRP)*(1-0.3),IF($Z23&lt;250,0,IF($Z23&lt;=1000,(a_RRP2*$Z23^(-c_RRP))*(1-(0.3/750*($Z23-250))),(a_RRP2*$Z23^(-c_RRP))*(1-0.3)))),IF($Z23&lt;250,0,IF($Z23&lt;=1000,(a_RRP*$Z23^(-c_RRP))*(1-(0.3/750*($Z23-250))),(a_RRP*$Z23^(-c_RRP))*(1-0.3))))</f>
        <v>13.859050978690316</v>
      </c>
      <c r="AE23" s="54">
        <v>14000</v>
      </c>
      <c r="AF23" s="52">
        <f t="shared" si="21"/>
        <v>20.206116783739162</v>
      </c>
      <c r="AG23" s="52">
        <f t="shared" si="22"/>
        <v>19.195810944552203</v>
      </c>
      <c r="AH23" s="52">
        <f t="shared" si="23"/>
        <v>17.175199266178286</v>
      </c>
      <c r="AI23" s="52">
        <f t="shared" si="24"/>
        <v>14.144281748617413</v>
      </c>
      <c r="AJ23" s="54">
        <v>14000</v>
      </c>
      <c r="AK23" s="52">
        <f t="shared" si="25"/>
        <v>8.6989872689730898</v>
      </c>
      <c r="AL23" s="52">
        <f t="shared" si="26"/>
        <v>8.2640379055244342</v>
      </c>
      <c r="AM23" s="52">
        <f t="shared" si="27"/>
        <v>7.3941391786271264</v>
      </c>
      <c r="AN23" s="52">
        <f t="shared" si="28"/>
        <v>6.0892910882811622</v>
      </c>
      <c r="AO23" s="54">
        <v>14000</v>
      </c>
      <c r="AP23" s="52">
        <f t="shared" si="29"/>
        <v>14.407334465115888</v>
      </c>
      <c r="AQ23" s="52">
        <f t="shared" si="30"/>
        <v>12.966601018604299</v>
      </c>
      <c r="AR23" s="52">
        <f t="shared" si="31"/>
        <v>11.525867572092711</v>
      </c>
      <c r="AS23" s="52">
        <f t="shared" si="32"/>
        <v>10.085134125581121</v>
      </c>
      <c r="AT23" s="54">
        <v>14000</v>
      </c>
      <c r="AU23" s="52">
        <f t="shared" si="4"/>
        <v>24.413577014069556</v>
      </c>
      <c r="AV23" s="52">
        <f t="shared" si="33"/>
        <v>21.972219312662602</v>
      </c>
      <c r="AW23" s="52">
        <f t="shared" si="34"/>
        <v>19.530861611255645</v>
      </c>
      <c r="AX23" s="52">
        <f t="shared" si="35"/>
        <v>17.089503909848688</v>
      </c>
      <c r="AY23" s="54">
        <v>21000</v>
      </c>
      <c r="AZ23" s="52">
        <f t="shared" si="5"/>
        <v>20.018128870324571</v>
      </c>
      <c r="BA23" s="52">
        <f t="shared" si="6"/>
        <v>18.016315983292113</v>
      </c>
      <c r="BB23" s="52">
        <f t="shared" si="7"/>
        <v>17.015409539775884</v>
      </c>
      <c r="BC23" s="52">
        <f t="shared" si="8"/>
        <v>14.012690209227198</v>
      </c>
    </row>
    <row r="24" spans="1:55" x14ac:dyDescent="0.2">
      <c r="A24" s="54">
        <v>20000</v>
      </c>
      <c r="B24" s="52">
        <f t="shared" si="9"/>
        <v>23.800768506161948</v>
      </c>
      <c r="C24" s="52">
        <f t="shared" si="10"/>
        <v>21.420691655545752</v>
      </c>
      <c r="D24" s="52">
        <f t="shared" si="11"/>
        <v>19.040614804929557</v>
      </c>
      <c r="E24" s="52">
        <f t="shared" si="12"/>
        <v>16.660537954313362</v>
      </c>
      <c r="F24" s="54">
        <v>120000</v>
      </c>
      <c r="G24" s="52">
        <f t="shared" si="13"/>
        <v>3.6333798463618945</v>
      </c>
      <c r="H24" s="52">
        <f t="shared" si="14"/>
        <v>3.270041861725705</v>
      </c>
      <c r="I24" s="52">
        <f t="shared" si="15"/>
        <v>2.9067038770895159</v>
      </c>
      <c r="J24" s="52">
        <f t="shared" si="16"/>
        <v>2.543365892453326</v>
      </c>
      <c r="K24" s="54">
        <v>35000</v>
      </c>
      <c r="L24" s="52">
        <f t="shared" si="17"/>
        <v>11.215250032613188</v>
      </c>
      <c r="M24" s="52">
        <f t="shared" si="18"/>
        <v>10.093725029351869</v>
      </c>
      <c r="N24" s="52">
        <f t="shared" si="19"/>
        <v>9.5329625277212102</v>
      </c>
      <c r="O24" s="52">
        <f t="shared" si="20"/>
        <v>7.8506750228292308</v>
      </c>
      <c r="P24" s="54">
        <v>20000</v>
      </c>
      <c r="Q24" s="52">
        <f t="shared" si="0"/>
        <v>9.7057658018102249</v>
      </c>
      <c r="R24" s="52">
        <f t="shared" si="1"/>
        <v>8.7351892216292022</v>
      </c>
      <c r="S24" s="52">
        <f t="shared" si="2"/>
        <v>7.7646126414481804</v>
      </c>
      <c r="T24" s="52">
        <f t="shared" si="3"/>
        <v>6.7940360612671569</v>
      </c>
      <c r="U24" s="54">
        <v>15000</v>
      </c>
      <c r="V24" s="52">
        <f>IF(OR('RoRo Cargo'!$B$29="Phase 3*",'RoRo Cargo'!$B$29="Phase 2*",'RoRo Cargo'!$B$29="Phase 1*",'RoRo Cargo'!$B$29="Phase 0*"),IF($U24&gt;=17000,a_RRC2*17000^(-c_RRC)*(1-(0/1000*($U24-1000))),IF($U24&lt;1000,0,IF($U24&lt;=2000,(a_RRC2*$U24^(-c_RRC))*(1-(0/1000*($U24-1000))),(a_RRC2*$U24^(-c_RRC))*(1-0)))),IF($U24&lt;1000,0,IF($U24&lt;=2000,(a_RRC*$U24^(-c_RRC))*(1-(0/1000*($U24-1000))),(a_RRC*$U24^(-c_RRC))*(1-0))))</f>
        <v>11.695781351705623</v>
      </c>
      <c r="W24" s="52">
        <f>IF(OR('RoRo Cargo'!$B$29="Phase 3*",'RoRo Cargo'!$B$29="Phase 2*",'RoRo Cargo'!$B$29="Phase 1*",'RoRo Cargo'!$B$29="Phase 0*"),IF($U24&gt;=17000,a_RRC2*17000^(-c_RRC)*(1-(0.05)),IF($U24&lt;1000,0,IF($U24&lt;=2000,(a_RRC2*$U24^(-c_RRC))*(1-(0.05/1000*($U24-1000))),(a_RRC2*$U24^(-c_RRC))*(1-0.05)))),IF($U24&lt;1000,0,IF($U24&lt;=2000,(a_RRC*$U24^(-c_RRC))*(1-(0.05/1000*($U24-1000))),(a_RRC*$U24^(-c_RRC))*(1-0.05))))</f>
        <v>11.110992284120341</v>
      </c>
      <c r="X24" s="52">
        <f>IF(OR('RoRo Cargo'!$B$29="Phase 3*",'RoRo Cargo'!$B$29="Phase 2*",'RoRo Cargo'!$B$29="Phase 1*",'RoRo Cargo'!$B$29="Phase 0*"),IF($U24&gt;=17000,a_RRC2*17000^(-c_RRC)*(1-(0.2)),IF($U24&lt;1000,0,IF($U24&lt;=2000,(a_RRC2*$U24^(-c_RRC))*(1-(0.2/1000*($U24-1000))),(a_RRC2*$U24^(-c_RRC))*(1-0.2)))),IF($U24&lt;1000,0,IF($U24&lt;=2000,(a_RRC*$U24^(-c_RRC))*(1-(0.2/1000*($U24-1000))),(a_RRC*$U24^(-c_RRC))*(1-0.2))))</f>
        <v>9.3566250813644984</v>
      </c>
      <c r="Y24" s="52">
        <f>IF(OR('RoRo Cargo'!$B$29="Phase 3*",'RoRo Cargo'!$B$29="Phase 2*",'RoRo Cargo'!$B$29="Phase 1*",'RoRo Cargo'!$B$29="Phase 0*"),IF($U24&gt;=17000,a_RRC2*17000^(-c_RRC)*(1-(0.3)),IF($U24&lt;1000,0,IF($U24&lt;=2000,(a_RRC2*$U24^(-c_RRC))*(1-(0.3/1000*($U24-1000))),(a_RRC2*$U24^(-c_RRC))*(1-0.3)))),IF($U24&lt;1000,0,IF($U24&lt;=2000,(a_RRC*$U24^(-c_RRC))*(1-(0.3/1000*($U24-1000))),(a_RRC*$U24^(-c_RRC))*(1-0.3))))</f>
        <v>8.1870469461939361</v>
      </c>
      <c r="Z24" s="54">
        <v>15000</v>
      </c>
      <c r="AA24" s="52">
        <f>IF(OR(RoPax!$B$31="Phase 3*",RoPax!$B$31="Phase 2*",RoPax!$B$31="Phase 1*",RoPax!$B$31="Phase 0*"),IF($Z24&gt;=10000,a_RRP2*10000^(-c_RRP)*(1-0),IF($Z24&lt;250,0,IF($Z24&lt;=1000,(a_RRP2*$Z24^(-c_RRP))*(1-(0/750*($Z24-250))),(a_RRP2*$Z24^(-c_RRP))*(1-0)))),IF($Z24&lt;250,0,IF($Z24&lt;=1000,(a_RRP*$Z24^(-c_RRP))*(1-(0/750*($Z24-250))),(a_RRP*$Z24^(-c_RRP))*(1-0))))</f>
        <v>19.284992048863501</v>
      </c>
      <c r="AB24" s="52">
        <f>IF(OR(RoPax!$B$31="Phase 3*",RoPax!$B$31="Phase 2*",RoPax!$B$31="Phase 1*",RoPax!$B$31="Phase 0*"),IF($Z24&gt;=10000,a_RRP2*10000^(-c_RRP)*(1-0.05),IF($Z24&lt;250,0,IF($Z24&lt;=1000,(a_RRP2*$Z24^(-c_RRP))*(1-(0.05/750*($Z24-250))),(a_RRP2*$Z24^(-c_RRP))*(1-0.05)))),IF($Z24&lt;250,0,IF($Z24&lt;=1000,(a_RRP*$Z24^(-c_RRP))*(1-(0.05/750*($Z24-250))),(a_RRP*$Z24^(-c_RRP))*(1-0.05))))</f>
        <v>18.320742446420326</v>
      </c>
      <c r="AC24" s="52">
        <f>IF(OR(RoPax!$B$31="Phase 3*",RoPax!$B$31="Phase 2*",RoPax!$B$31="Phase 1*",RoPax!$B$31="Phase 0*"),IF($Z24&gt;=10000,a_RRP2*10000^(-c_RRP)*(1-0.2),IF($Z24&lt;250,0,IF($Z24&lt;=1000,(a_RRP2*$Z24^(-c_RRP))*(1-(0.2/750*($Z24-250))),(a_RRP2*$Z24^(-c_RRP))*(1-0.2)))),IF($Z24&lt;250,0,IF($Z24&lt;=1000,(a_RRP*$Z24^(-c_RRP))*(1-(0.2/750*($Z24-250))),(a_RRP*$Z24^(-c_RRP))*(1-0.2))))</f>
        <v>15.427993639090801</v>
      </c>
      <c r="AD24" s="52">
        <f>IF(OR(RoPax!$B$31="Phase 3*",RoPax!$B$31="Phase 2*",RoPax!$B$31="Phase 1*",RoPax!$B$31="Phase 0*"),IF($Z24&gt;=10000,a_RRP2*10000^(-c_RRP)*(1-0.3),IF($Z24&lt;250,0,IF($Z24&lt;=1000,(a_RRP2*$Z24^(-c_RRP))*(1-(0.3/750*($Z24-250))),(a_RRP2*$Z24^(-c_RRP))*(1-0.3)))),IF($Z24&lt;250,0,IF($Z24&lt;=1000,(a_RRP*$Z24^(-c_RRP))*(1-(0.3/750*($Z24-250))),(a_RRP*$Z24^(-c_RRP))*(1-0.3))))</f>
        <v>13.49949443420445</v>
      </c>
      <c r="AE24" s="54">
        <v>15000</v>
      </c>
      <c r="AF24" s="52">
        <f t="shared" si="21"/>
        <v>19.560059903927858</v>
      </c>
      <c r="AG24" s="52">
        <f t="shared" si="22"/>
        <v>18.582056908731463</v>
      </c>
      <c r="AH24" s="52">
        <f t="shared" si="23"/>
        <v>16.626050918338677</v>
      </c>
      <c r="AI24" s="52">
        <f t="shared" si="24"/>
        <v>13.6920419327495</v>
      </c>
      <c r="AJ24" s="54">
        <v>15000</v>
      </c>
      <c r="AK24" s="52">
        <f t="shared" si="25"/>
        <v>8.4208516611934829</v>
      </c>
      <c r="AL24" s="52">
        <f t="shared" si="26"/>
        <v>7.9998090781338087</v>
      </c>
      <c r="AM24" s="52">
        <f t="shared" si="27"/>
        <v>7.1577239120144602</v>
      </c>
      <c r="AN24" s="52">
        <f t="shared" si="28"/>
        <v>5.8945961628354375</v>
      </c>
      <c r="AO24" s="54">
        <v>15000</v>
      </c>
      <c r="AP24" s="52">
        <f t="shared" si="29"/>
        <v>13.961124775098709</v>
      </c>
      <c r="AQ24" s="52">
        <f t="shared" si="30"/>
        <v>12.565012297588838</v>
      </c>
      <c r="AR24" s="52">
        <f t="shared" si="31"/>
        <v>11.168899820078968</v>
      </c>
      <c r="AS24" s="52">
        <f t="shared" si="32"/>
        <v>9.7727873425690959</v>
      </c>
      <c r="AT24" s="54">
        <v>15000</v>
      </c>
      <c r="AU24" s="52">
        <f t="shared" si="4"/>
        <v>23.628102593463041</v>
      </c>
      <c r="AV24" s="52">
        <f t="shared" si="33"/>
        <v>21.265292334116737</v>
      </c>
      <c r="AW24" s="52">
        <f t="shared" si="34"/>
        <v>18.902482074770433</v>
      </c>
      <c r="AX24" s="52">
        <f t="shared" si="35"/>
        <v>16.539671815424128</v>
      </c>
      <c r="AY24" s="54">
        <v>22000</v>
      </c>
      <c r="AZ24" s="52">
        <f t="shared" si="5"/>
        <v>19.792190143317161</v>
      </c>
      <c r="BA24" s="52">
        <f t="shared" si="6"/>
        <v>17.812971128985446</v>
      </c>
      <c r="BB24" s="52">
        <f t="shared" si="7"/>
        <v>16.823361621819586</v>
      </c>
      <c r="BC24" s="52">
        <f t="shared" si="8"/>
        <v>13.854533100322012</v>
      </c>
    </row>
    <row r="25" spans="1:55" x14ac:dyDescent="0.2">
      <c r="A25" s="54">
        <v>21000</v>
      </c>
      <c r="B25" s="52">
        <f t="shared" si="9"/>
        <v>23.568499354945086</v>
      </c>
      <c r="C25" s="52">
        <f t="shared" si="10"/>
        <v>21.211649419450577</v>
      </c>
      <c r="D25" s="52">
        <f t="shared" si="11"/>
        <v>18.854799483956068</v>
      </c>
      <c r="E25" s="52">
        <f t="shared" si="12"/>
        <v>16.497949548461559</v>
      </c>
      <c r="F25" s="54">
        <v>130000</v>
      </c>
      <c r="G25" s="52">
        <f t="shared" si="13"/>
        <v>3.4972709321577766</v>
      </c>
      <c r="H25" s="52">
        <f t="shared" si="14"/>
        <v>3.1475438389419992</v>
      </c>
      <c r="I25" s="52">
        <f t="shared" si="15"/>
        <v>2.7978167457262213</v>
      </c>
      <c r="J25" s="52">
        <f t="shared" si="16"/>
        <v>2.4480896525104434</v>
      </c>
      <c r="K25" s="54">
        <v>37500</v>
      </c>
      <c r="L25" s="52">
        <f t="shared" si="17"/>
        <v>11.049354411565199</v>
      </c>
      <c r="M25" s="52">
        <f t="shared" si="18"/>
        <v>9.9444189704086785</v>
      </c>
      <c r="N25" s="52">
        <f t="shared" si="19"/>
        <v>9.3919512498304183</v>
      </c>
      <c r="O25" s="52">
        <f t="shared" si="20"/>
        <v>7.7345480880956385</v>
      </c>
      <c r="P25" s="54">
        <v>21000</v>
      </c>
      <c r="Q25" s="52">
        <f t="shared" si="0"/>
        <v>9.4774047795703886</v>
      </c>
      <c r="R25" s="52">
        <f t="shared" si="1"/>
        <v>8.5296643016133498</v>
      </c>
      <c r="S25" s="52">
        <f t="shared" si="2"/>
        <v>7.5819238236563109</v>
      </c>
      <c r="T25" s="52">
        <f t="shared" si="3"/>
        <v>6.634183345699272</v>
      </c>
      <c r="U25" s="54">
        <v>16000</v>
      </c>
      <c r="V25" s="52">
        <f>IF(OR('RoRo Cargo'!$B$29="Phase 3*",'RoRo Cargo'!$B$29="Phase 2*",'RoRo Cargo'!$B$29="Phase 1*",'RoRo Cargo'!$B$29="Phase 0*"),IF($U25&gt;=17000,a_RRC2*17000^(-c_RRC)*(1-(0/1000*($U25-1000))),IF($U25&lt;1000,0,IF($U25&lt;=2000,(a_RRC2*$U25^(-c_RRC))*(1-(0/1000*($U25-1000))),(a_RRC2*$U25^(-c_RRC))*(1-0)))),IF($U25&lt;1000,0,IF($U25&lt;=2000,(a_RRC*$U25^(-c_RRC))*(1-(0/1000*($U25-1000))),(a_RRC*$U25^(-c_RRC))*(1-0))))</f>
        <v>11.325853412324193</v>
      </c>
      <c r="W25" s="52">
        <f>IF(OR('RoRo Cargo'!$B$29="Phase 3*",'RoRo Cargo'!$B$29="Phase 2*",'RoRo Cargo'!$B$29="Phase 1*",'RoRo Cargo'!$B$29="Phase 0*"),IF($U25&gt;=17000,a_RRC2*17000^(-c_RRC)*(1-(0.05)),IF($U25&lt;1000,0,IF($U25&lt;=2000,(a_RRC2*$U25^(-c_RRC))*(1-(0.05/1000*($U25-1000))),(a_RRC2*$U25^(-c_RRC))*(1-0.05)))),IF($U25&lt;1000,0,IF($U25&lt;=2000,(a_RRC*$U25^(-c_RRC))*(1-(0.05/1000*($U25-1000))),(a_RRC*$U25^(-c_RRC))*(1-0.05))))</f>
        <v>10.759560741707983</v>
      </c>
      <c r="X25" s="52">
        <f>IF(OR('RoRo Cargo'!$B$29="Phase 3*",'RoRo Cargo'!$B$29="Phase 2*",'RoRo Cargo'!$B$29="Phase 1*",'RoRo Cargo'!$B$29="Phase 0*"),IF($U25&gt;=17000,a_RRC2*17000^(-c_RRC)*(1-(0.2)),IF($U25&lt;1000,0,IF($U25&lt;=2000,(a_RRC2*$U25^(-c_RRC))*(1-(0.2/1000*($U25-1000))),(a_RRC2*$U25^(-c_RRC))*(1-0.2)))),IF($U25&lt;1000,0,IF($U25&lt;=2000,(a_RRC*$U25^(-c_RRC))*(1-(0.2/1000*($U25-1000))),(a_RRC*$U25^(-c_RRC))*(1-0.2))))</f>
        <v>9.0606827298593551</v>
      </c>
      <c r="Y25" s="52">
        <f>IF(OR('RoRo Cargo'!$B$29="Phase 3*",'RoRo Cargo'!$B$29="Phase 2*",'RoRo Cargo'!$B$29="Phase 1*",'RoRo Cargo'!$B$29="Phase 0*"),IF($U25&gt;=17000,a_RRC2*17000^(-c_RRC)*(1-(0.3)),IF($U25&lt;1000,0,IF($U25&lt;=2000,(a_RRC2*$U25^(-c_RRC))*(1-(0.3/1000*($U25-1000))),(a_RRC2*$U25^(-c_RRC))*(1-0.3)))),IF($U25&lt;1000,0,IF($U25&lt;=2000,(a_RRC*$U25^(-c_RRC))*(1-(0.3/1000*($U25-1000))),(a_RRC*$U25^(-c_RRC))*(1-0.3))))</f>
        <v>7.9280973886269344</v>
      </c>
      <c r="Z25" s="54">
        <v>16000</v>
      </c>
      <c r="AA25" s="52">
        <f>IF(OR(RoPax!$B$31="Phase 3*",RoPax!$B$31="Phase 2*",RoPax!$B$31="Phase 1*",RoPax!$B$31="Phase 0*"),IF($Z25&gt;=10000,a_RRP2*10000^(-c_RRP)*(1-0),IF($Z25&lt;250,0,IF($Z25&lt;=1000,(a_RRP2*$Z25^(-c_RRP))*(1-(0/750*($Z25-250))),(a_RRP2*$Z25^(-c_RRP))*(1-0)))),IF($Z25&lt;250,0,IF($Z25&lt;=1000,(a_RRP*$Z25^(-c_RRP))*(1-(0/750*($Z25-250))),(a_RRP*$Z25^(-c_RRP))*(1-0))))</f>
        <v>18.81657260017808</v>
      </c>
      <c r="AB25" s="52">
        <f>IF(OR(RoPax!$B$31="Phase 3*",RoPax!$B$31="Phase 2*",RoPax!$B$31="Phase 1*",RoPax!$B$31="Phase 0*"),IF($Z25&gt;=10000,a_RRP2*10000^(-c_RRP)*(1-0.05),IF($Z25&lt;250,0,IF($Z25&lt;=1000,(a_RRP2*$Z25^(-c_RRP))*(1-(0.05/750*($Z25-250))),(a_RRP2*$Z25^(-c_RRP))*(1-0.05)))),IF($Z25&lt;250,0,IF($Z25&lt;=1000,(a_RRP*$Z25^(-c_RRP))*(1-(0.05/750*($Z25-250))),(a_RRP*$Z25^(-c_RRP))*(1-0.05))))</f>
        <v>17.875743970169175</v>
      </c>
      <c r="AC25" s="52">
        <f>IF(OR(RoPax!$B$31="Phase 3*",RoPax!$B$31="Phase 2*",RoPax!$B$31="Phase 1*",RoPax!$B$31="Phase 0*"),IF($Z25&gt;=10000,a_RRP2*10000^(-c_RRP)*(1-0.2),IF($Z25&lt;250,0,IF($Z25&lt;=1000,(a_RRP2*$Z25^(-c_RRP))*(1-(0.2/750*($Z25-250))),(a_RRP2*$Z25^(-c_RRP))*(1-0.2)))),IF($Z25&lt;250,0,IF($Z25&lt;=1000,(a_RRP*$Z25^(-c_RRP))*(1-(0.2/750*($Z25-250))),(a_RRP*$Z25^(-c_RRP))*(1-0.2))))</f>
        <v>15.053258080142465</v>
      </c>
      <c r="AD25" s="52">
        <f>IF(OR(RoPax!$B$31="Phase 3*",RoPax!$B$31="Phase 2*",RoPax!$B$31="Phase 1*",RoPax!$B$31="Phase 0*"),IF($Z25&gt;=10000,a_RRP2*10000^(-c_RRP)*(1-0.3),IF($Z25&lt;250,0,IF($Z25&lt;=1000,(a_RRP2*$Z25^(-c_RRP))*(1-(0.3/750*($Z25-250))),(a_RRP2*$Z25^(-c_RRP))*(1-0.3)))),IF($Z25&lt;250,0,IF($Z25&lt;=1000,(a_RRP*$Z25^(-c_RRP))*(1-(0.3/750*($Z25-250))),(a_RRP*$Z25^(-c_RRP))*(1-0.3))))</f>
        <v>13.171600820124656</v>
      </c>
      <c r="AE25" s="54">
        <v>16000</v>
      </c>
      <c r="AF25" s="52">
        <f t="shared" si="21"/>
        <v>18.974426212976965</v>
      </c>
      <c r="AG25" s="52">
        <f t="shared" si="22"/>
        <v>18.025704902328116</v>
      </c>
      <c r="AH25" s="52">
        <f t="shared" si="23"/>
        <v>16.12826228103042</v>
      </c>
      <c r="AI25" s="52">
        <f t="shared" si="24"/>
        <v>13.282098349083874</v>
      </c>
      <c r="AJ25" s="54">
        <v>16000</v>
      </c>
      <c r="AK25" s="52">
        <f t="shared" si="25"/>
        <v>8.1687289957457967</v>
      </c>
      <c r="AL25" s="52">
        <f t="shared" si="26"/>
        <v>7.7602925459585066</v>
      </c>
      <c r="AM25" s="52">
        <f t="shared" si="27"/>
        <v>6.9434196463839273</v>
      </c>
      <c r="AN25" s="52">
        <f t="shared" si="28"/>
        <v>5.718110297022057</v>
      </c>
      <c r="AO25" s="54">
        <v>16000</v>
      </c>
      <c r="AP25" s="52">
        <f t="shared" si="29"/>
        <v>13.556241922360346</v>
      </c>
      <c r="AQ25" s="52">
        <f t="shared" si="30"/>
        <v>12.200617730124312</v>
      </c>
      <c r="AR25" s="52">
        <f t="shared" si="31"/>
        <v>10.844993537888278</v>
      </c>
      <c r="AS25" s="52">
        <f t="shared" si="32"/>
        <v>9.489369345652241</v>
      </c>
      <c r="AT25" s="54">
        <v>16000</v>
      </c>
      <c r="AU25" s="52">
        <f t="shared" si="4"/>
        <v>22.916233192090221</v>
      </c>
      <c r="AV25" s="52">
        <f t="shared" si="33"/>
        <v>20.624609872881198</v>
      </c>
      <c r="AW25" s="52">
        <f t="shared" si="34"/>
        <v>18.332986553672178</v>
      </c>
      <c r="AX25" s="52">
        <f t="shared" si="35"/>
        <v>16.041363234463155</v>
      </c>
      <c r="AY25" s="54">
        <v>23000</v>
      </c>
      <c r="AZ25" s="52">
        <f t="shared" si="5"/>
        <v>19.578679481491974</v>
      </c>
      <c r="BA25" s="52">
        <f t="shared" si="6"/>
        <v>17.620811533342778</v>
      </c>
      <c r="BB25" s="52">
        <f t="shared" si="7"/>
        <v>16.641877559268178</v>
      </c>
      <c r="BC25" s="52">
        <f t="shared" si="8"/>
        <v>13.705075637044381</v>
      </c>
    </row>
    <row r="26" spans="1:55" x14ac:dyDescent="0.2">
      <c r="A26" s="54">
        <v>22000</v>
      </c>
      <c r="B26" s="52">
        <f t="shared" si="9"/>
        <v>23.349148676280485</v>
      </c>
      <c r="C26" s="52">
        <f t="shared" si="10"/>
        <v>21.014233808652438</v>
      </c>
      <c r="D26" s="52">
        <f t="shared" si="11"/>
        <v>18.679318941024388</v>
      </c>
      <c r="E26" s="52">
        <f t="shared" si="12"/>
        <v>16.34440407339634</v>
      </c>
      <c r="F26" s="54">
        <v>140000</v>
      </c>
      <c r="G26" s="52">
        <f t="shared" si="13"/>
        <v>3.3758036954421251</v>
      </c>
      <c r="H26" s="52">
        <f t="shared" si="14"/>
        <v>3.0382233258979126</v>
      </c>
      <c r="I26" s="52">
        <f t="shared" si="15"/>
        <v>2.7006429563537004</v>
      </c>
      <c r="J26" s="52">
        <f t="shared" si="16"/>
        <v>2.3630625868094874</v>
      </c>
      <c r="K26" s="54">
        <v>40000</v>
      </c>
      <c r="L26" s="52">
        <f t="shared" si="17"/>
        <v>10.896391522012141</v>
      </c>
      <c r="M26" s="52">
        <f t="shared" si="18"/>
        <v>9.806752369810928</v>
      </c>
      <c r="N26" s="52">
        <f t="shared" si="19"/>
        <v>9.2619327937103204</v>
      </c>
      <c r="O26" s="52">
        <f t="shared" si="20"/>
        <v>7.6274740654084985</v>
      </c>
      <c r="P26" s="54">
        <v>22000</v>
      </c>
      <c r="Q26" s="52">
        <f t="shared" si="0"/>
        <v>9.2646747485458825</v>
      </c>
      <c r="R26" s="52">
        <f t="shared" si="1"/>
        <v>8.3382072736912942</v>
      </c>
      <c r="S26" s="52">
        <f t="shared" si="2"/>
        <v>7.411739798836706</v>
      </c>
      <c r="T26" s="52">
        <f t="shared" si="3"/>
        <v>6.4852723239821177</v>
      </c>
      <c r="U26" s="54">
        <v>17000</v>
      </c>
      <c r="V26" s="52">
        <f>IF(OR('RoRo Cargo'!$B$29="Phase 3*",'RoRo Cargo'!$B$29="Phase 2*",'RoRo Cargo'!$B$29="Phase 1*",'RoRo Cargo'!$B$29="Phase 0*"),IF($U26&gt;=17000,a_RRC2*17000^(-c_RRC)*(1-(0/1000*($U26-1000))),IF($U26&lt;1000,0,IF($U26&lt;=2000,(a_RRC2*$U26^(-c_RRC))*(1-(0/1000*($U26-1000))),(a_RRC2*$U26^(-c_RRC))*(1-0)))),IF($U26&lt;1000,0,IF($U26&lt;=2000,(a_RRC*$U26^(-c_RRC))*(1-(0/1000*($U26-1000))),(a_RRC*$U26^(-c_RRC))*(1-0))))</f>
        <v>10.989024075795543</v>
      </c>
      <c r="W26" s="52">
        <f>IF(OR('RoRo Cargo'!$B$29="Phase 3*",'RoRo Cargo'!$B$29="Phase 2*",'RoRo Cargo'!$B$29="Phase 1*",'RoRo Cargo'!$B$29="Phase 0*"),IF($U26&gt;=17000,a_RRC2*17000^(-c_RRC)*(1-(0.05)),IF($U26&lt;1000,0,IF($U26&lt;=2000,(a_RRC2*$U26^(-c_RRC))*(1-(0.05/1000*($U26-1000))),(a_RRC2*$U26^(-c_RRC))*(1-0.05)))),IF($U26&lt;1000,0,IF($U26&lt;=2000,(a_RRC*$U26^(-c_RRC))*(1-(0.05/1000*($U26-1000))),(a_RRC*$U26^(-c_RRC))*(1-0.05))))</f>
        <v>10.439572872005765</v>
      </c>
      <c r="X26" s="52">
        <f>IF(OR('RoRo Cargo'!$B$29="Phase 3*",'RoRo Cargo'!$B$29="Phase 2*",'RoRo Cargo'!$B$29="Phase 1*",'RoRo Cargo'!$B$29="Phase 0*"),IF($U26&gt;=17000,a_RRC2*17000^(-c_RRC)*(1-(0.2)),IF($U26&lt;1000,0,IF($U26&lt;=2000,(a_RRC2*$U26^(-c_RRC))*(1-(0.2/1000*($U26-1000))),(a_RRC2*$U26^(-c_RRC))*(1-0.2)))),IF($U26&lt;1000,0,IF($U26&lt;=2000,(a_RRC*$U26^(-c_RRC))*(1-(0.2/1000*($U26-1000))),(a_RRC*$U26^(-c_RRC))*(1-0.2))))</f>
        <v>8.791219260636435</v>
      </c>
      <c r="Y26" s="52">
        <f>IF(OR('RoRo Cargo'!$B$29="Phase 3*",'RoRo Cargo'!$B$29="Phase 2*",'RoRo Cargo'!$B$29="Phase 1*",'RoRo Cargo'!$B$29="Phase 0*"),IF($U26&gt;=17000,a_RRC2*17000^(-c_RRC)*(1-(0.3)),IF($U26&lt;1000,0,IF($U26&lt;=2000,(a_RRC2*$U26^(-c_RRC))*(1-(0.3/1000*($U26-1000))),(a_RRC2*$U26^(-c_RRC))*(1-0.3)))),IF($U26&lt;1000,0,IF($U26&lt;=2000,(a_RRC*$U26^(-c_RRC))*(1-(0.3/1000*($U26-1000))),(a_RRC*$U26^(-c_RRC))*(1-0.3))))</f>
        <v>7.6923168530568793</v>
      </c>
      <c r="Z26" s="54">
        <v>17000</v>
      </c>
      <c r="AA26" s="52">
        <f>IF(OR(RoPax!$B$31="Phase 3*",RoPax!$B$31="Phase 2*",RoPax!$B$31="Phase 1*",RoPax!$B$31="Phase 0*"),IF($Z26&gt;=10000,a_RRP2*10000^(-c_RRP)*(1-0),IF($Z26&lt;250,0,IF($Z26&lt;=1000,(a_RRP2*$Z26^(-c_RRP))*(1-(0/750*($Z26-250))),(a_RRP2*$Z26^(-c_RRP))*(1-0)))),IF($Z26&lt;250,0,IF($Z26&lt;=1000,(a_RRP*$Z26^(-c_RRP))*(1-(0/750*($Z26-250))),(a_RRP*$Z26^(-c_RRP))*(1-0))))</f>
        <v>18.386928819031997</v>
      </c>
      <c r="AB26" s="52">
        <f>IF(OR(RoPax!$B$31="Phase 3*",RoPax!$B$31="Phase 2*",RoPax!$B$31="Phase 1*",RoPax!$B$31="Phase 0*"),IF($Z26&gt;=10000,a_RRP2*10000^(-c_RRP)*(1-0.05),IF($Z26&lt;250,0,IF($Z26&lt;=1000,(a_RRP2*$Z26^(-c_RRP))*(1-(0.05/750*($Z26-250))),(a_RRP2*$Z26^(-c_RRP))*(1-0.05)))),IF($Z26&lt;250,0,IF($Z26&lt;=1000,(a_RRP*$Z26^(-c_RRP))*(1-(0.05/750*($Z26-250))),(a_RRP*$Z26^(-c_RRP))*(1-0.05))))</f>
        <v>17.467582378080397</v>
      </c>
      <c r="AC26" s="52">
        <f>IF(OR(RoPax!$B$31="Phase 3*",RoPax!$B$31="Phase 2*",RoPax!$B$31="Phase 1*",RoPax!$B$31="Phase 0*"),IF($Z26&gt;=10000,a_RRP2*10000^(-c_RRP)*(1-0.2),IF($Z26&lt;250,0,IF($Z26&lt;=1000,(a_RRP2*$Z26^(-c_RRP))*(1-(0.2/750*($Z26-250))),(a_RRP2*$Z26^(-c_RRP))*(1-0.2)))),IF($Z26&lt;250,0,IF($Z26&lt;=1000,(a_RRP*$Z26^(-c_RRP))*(1-(0.2/750*($Z26-250))),(a_RRP*$Z26^(-c_RRP))*(1-0.2))))</f>
        <v>14.709543055225598</v>
      </c>
      <c r="AD26" s="52">
        <f>IF(OR(RoPax!$B$31="Phase 3*",RoPax!$B$31="Phase 2*",RoPax!$B$31="Phase 1*",RoPax!$B$31="Phase 0*"),IF($Z26&gt;=10000,a_RRP2*10000^(-c_RRP)*(1-0.3),IF($Z26&lt;250,0,IF($Z26&lt;=1000,(a_RRP2*$Z26^(-c_RRP))*(1-(0.3/750*($Z26-250))),(a_RRP2*$Z26^(-c_RRP))*(1-0.3)))),IF($Z26&lt;250,0,IF($Z26&lt;=1000,(a_RRP*$Z26^(-c_RRP))*(1-(0.3/750*($Z26-250))),(a_RRP*$Z26^(-c_RRP))*(1-0.3))))</f>
        <v>12.870850173322397</v>
      </c>
      <c r="AE26" s="54">
        <v>17000</v>
      </c>
      <c r="AF26" s="52">
        <f t="shared" si="21"/>
        <v>18.440288933371814</v>
      </c>
      <c r="AG26" s="52">
        <f t="shared" si="22"/>
        <v>17.518274486703223</v>
      </c>
      <c r="AH26" s="52">
        <f t="shared" si="23"/>
        <v>15.674245593366042</v>
      </c>
      <c r="AI26" s="52">
        <f t="shared" si="24"/>
        <v>12.908202253360269</v>
      </c>
      <c r="AJ26" s="54">
        <v>17000</v>
      </c>
      <c r="AK26" s="52">
        <f t="shared" si="25"/>
        <v>7.9387761826991881</v>
      </c>
      <c r="AL26" s="52">
        <f t="shared" si="26"/>
        <v>7.5418373735642286</v>
      </c>
      <c r="AM26" s="52">
        <f t="shared" si="27"/>
        <v>6.7479597552943096</v>
      </c>
      <c r="AN26" s="52">
        <f t="shared" si="28"/>
        <v>5.5571433278894311</v>
      </c>
      <c r="AO26" s="54">
        <v>17000</v>
      </c>
      <c r="AP26" s="52">
        <f t="shared" si="29"/>
        <v>13.186614633465044</v>
      </c>
      <c r="AQ26" s="52">
        <f t="shared" si="30"/>
        <v>11.86795317011854</v>
      </c>
      <c r="AR26" s="52">
        <f t="shared" si="31"/>
        <v>10.549291706772037</v>
      </c>
      <c r="AS26" s="52">
        <f t="shared" si="32"/>
        <v>9.2306302434255301</v>
      </c>
      <c r="AT26" s="54">
        <v>17000</v>
      </c>
      <c r="AU26" s="52">
        <f t="shared" si="4"/>
        <v>22.267082385427571</v>
      </c>
      <c r="AV26" s="52">
        <f t="shared" si="33"/>
        <v>20.040374146884815</v>
      </c>
      <c r="AW26" s="52">
        <f t="shared" si="34"/>
        <v>17.813665908342056</v>
      </c>
      <c r="AX26" s="52">
        <f t="shared" si="35"/>
        <v>15.586957669799299</v>
      </c>
      <c r="AY26" s="54">
        <v>24000</v>
      </c>
      <c r="AZ26" s="52">
        <f t="shared" si="5"/>
        <v>19.376415811237234</v>
      </c>
      <c r="BA26" s="52">
        <f t="shared" si="6"/>
        <v>17.438774230113509</v>
      </c>
      <c r="BB26" s="52">
        <f t="shared" si="7"/>
        <v>16.469953439551649</v>
      </c>
      <c r="BC26" s="52">
        <f t="shared" si="8"/>
        <v>13.563491067866062</v>
      </c>
    </row>
    <row r="27" spans="1:55" x14ac:dyDescent="0.2">
      <c r="A27" s="54">
        <v>23000</v>
      </c>
      <c r="B27" s="52">
        <f t="shared" si="9"/>
        <v>23.141457823065398</v>
      </c>
      <c r="C27" s="52">
        <f t="shared" si="10"/>
        <v>20.827312040758859</v>
      </c>
      <c r="D27" s="52">
        <f t="shared" si="11"/>
        <v>18.513166258452319</v>
      </c>
      <c r="E27" s="52">
        <f t="shared" si="12"/>
        <v>16.199020476145776</v>
      </c>
      <c r="F27" s="54">
        <v>150000</v>
      </c>
      <c r="G27" s="52">
        <f t="shared" si="13"/>
        <v>3.2665155255823088</v>
      </c>
      <c r="H27" s="52">
        <f t="shared" si="14"/>
        <v>2.9398639730240781</v>
      </c>
      <c r="I27" s="52">
        <f t="shared" si="15"/>
        <v>2.6132124204658473</v>
      </c>
      <c r="J27" s="52">
        <f t="shared" si="16"/>
        <v>2.2865608679076161</v>
      </c>
      <c r="K27" s="54">
        <v>42500</v>
      </c>
      <c r="L27" s="52">
        <f t="shared" si="17"/>
        <v>10.754634340157844</v>
      </c>
      <c r="M27" s="52">
        <f t="shared" si="18"/>
        <v>9.6791709061420601</v>
      </c>
      <c r="N27" s="52">
        <f t="shared" si="19"/>
        <v>9.141439189134168</v>
      </c>
      <c r="O27" s="52">
        <f t="shared" si="20"/>
        <v>7.5282440381104907</v>
      </c>
      <c r="P27" s="54">
        <v>23000</v>
      </c>
      <c r="Q27" s="52">
        <f t="shared" si="0"/>
        <v>9.06586528999755</v>
      </c>
      <c r="R27" s="52">
        <f t="shared" si="1"/>
        <v>8.159278760997795</v>
      </c>
      <c r="S27" s="52">
        <f t="shared" si="2"/>
        <v>7.25269223199804</v>
      </c>
      <c r="T27" s="52">
        <f t="shared" si="3"/>
        <v>6.346105702998285</v>
      </c>
      <c r="U27" s="54">
        <v>18000</v>
      </c>
      <c r="V27" s="52">
        <f>IF(OR('RoRo Cargo'!$B$29="Phase 3*",'RoRo Cargo'!$B$29="Phase 2*",'RoRo Cargo'!$B$29="Phase 1*",'RoRo Cargo'!$B$29="Phase 0*"),IF($U27&gt;=17000,a_RRC2*17000^(-c_RRC)*(1-(0/1000*($U27-1000))),IF($U27&lt;1000,0,IF($U27&lt;=2000,(a_RRC2*$U27^(-c_RRC))*(1-(0/1000*($U27-1000))),(a_RRC2*$U27^(-c_RRC))*(1-0)))),IF($U27&lt;1000,0,IF($U27&lt;=2000,(a_RRC*$U27^(-c_RRC))*(1-(0/1000*($U27-1000))),(a_RRC*$U27^(-c_RRC))*(1-0))))</f>
        <v>10.680632699138156</v>
      </c>
      <c r="W27" s="52">
        <f>IF(OR('RoRo Cargo'!$B$29="Phase 3*",'RoRo Cargo'!$B$29="Phase 2*",'RoRo Cargo'!$B$29="Phase 1*",'RoRo Cargo'!$B$29="Phase 0*"),IF($U27&gt;=17000,a_RRC2*17000^(-c_RRC)*(1-(0.05)),IF($U27&lt;1000,0,IF($U27&lt;=2000,(a_RRC2*$U27^(-c_RRC))*(1-(0.05/1000*($U27-1000))),(a_RRC2*$U27^(-c_RRC))*(1-0.05)))),IF($U27&lt;1000,0,IF($U27&lt;=2000,(a_RRC*$U27^(-c_RRC))*(1-(0.05/1000*($U27-1000))),(a_RRC*$U27^(-c_RRC))*(1-0.05))))</f>
        <v>10.146601064181247</v>
      </c>
      <c r="X27" s="52">
        <f>IF(OR('RoRo Cargo'!$B$29="Phase 3*",'RoRo Cargo'!$B$29="Phase 2*",'RoRo Cargo'!$B$29="Phase 1*",'RoRo Cargo'!$B$29="Phase 0*"),IF($U27&gt;=17000,a_RRC2*17000^(-c_RRC)*(1-(0.2)),IF($U27&lt;1000,0,IF($U27&lt;=2000,(a_RRC2*$U27^(-c_RRC))*(1-(0.2/1000*($U27-1000))),(a_RRC2*$U27^(-c_RRC))*(1-0.2)))),IF($U27&lt;1000,0,IF($U27&lt;=2000,(a_RRC*$U27^(-c_RRC))*(1-(0.2/1000*($U27-1000))),(a_RRC*$U27^(-c_RRC))*(1-0.2))))</f>
        <v>8.5445061593105258</v>
      </c>
      <c r="Y27" s="52">
        <f>IF(OR('RoRo Cargo'!$B$29="Phase 3*",'RoRo Cargo'!$B$29="Phase 2*",'RoRo Cargo'!$B$29="Phase 1*",'RoRo Cargo'!$B$29="Phase 0*"),IF($U27&gt;=17000,a_RRC2*17000^(-c_RRC)*(1-(0.3)),IF($U27&lt;1000,0,IF($U27&lt;=2000,(a_RRC2*$U27^(-c_RRC))*(1-(0.3/1000*($U27-1000))),(a_RRC2*$U27^(-c_RRC))*(1-0.3)))),IF($U27&lt;1000,0,IF($U27&lt;=2000,(a_RRC*$U27^(-c_RRC))*(1-(0.3/1000*($U27-1000))),(a_RRC*$U27^(-c_RRC))*(1-0.3))))</f>
        <v>7.4764428893967088</v>
      </c>
      <c r="Z27" s="54">
        <v>18000</v>
      </c>
      <c r="AA27" s="52">
        <f>IF(OR(RoPax!$B$31="Phase 3*",RoPax!$B$31="Phase 2*",RoPax!$B$31="Phase 1*",RoPax!$B$31="Phase 0*"),IF($Z27&gt;=10000,a_RRP2*10000^(-c_RRP)*(1-0),IF($Z27&lt;250,0,IF($Z27&lt;=1000,(a_RRP2*$Z27^(-c_RRP))*(1-(0/750*($Z27-250))),(a_RRP2*$Z27^(-c_RRP))*(1-0)))),IF($Z27&lt;250,0,IF($Z27&lt;=1000,(a_RRP*$Z27^(-c_RRP))*(1-(0/750*($Z27-250))),(a_RRP*$Z27^(-c_RRP))*(1-0))))</f>
        <v>17.990838682095589</v>
      </c>
      <c r="AB27" s="52">
        <f>IF(OR(RoPax!$B$31="Phase 3*",RoPax!$B$31="Phase 2*",RoPax!$B$31="Phase 1*",RoPax!$B$31="Phase 0*"),IF($Z27&gt;=10000,a_RRP2*10000^(-c_RRP)*(1-0.05),IF($Z27&lt;250,0,IF($Z27&lt;=1000,(a_RRP2*$Z27^(-c_RRP))*(1-(0.05/750*($Z27-250))),(a_RRP2*$Z27^(-c_RRP))*(1-0.05)))),IF($Z27&lt;250,0,IF($Z27&lt;=1000,(a_RRP*$Z27^(-c_RRP))*(1-(0.05/750*($Z27-250))),(a_RRP*$Z27^(-c_RRP))*(1-0.05))))</f>
        <v>17.09129674799081</v>
      </c>
      <c r="AC27" s="52">
        <f>IF(OR(RoPax!$B$31="Phase 3*",RoPax!$B$31="Phase 2*",RoPax!$B$31="Phase 1*",RoPax!$B$31="Phase 0*"),IF($Z27&gt;=10000,a_RRP2*10000^(-c_RRP)*(1-0.2),IF($Z27&lt;250,0,IF($Z27&lt;=1000,(a_RRP2*$Z27^(-c_RRP))*(1-(0.2/750*($Z27-250))),(a_RRP2*$Z27^(-c_RRP))*(1-0.2)))),IF($Z27&lt;250,0,IF($Z27&lt;=1000,(a_RRP*$Z27^(-c_RRP))*(1-(0.2/750*($Z27-250))),(a_RRP*$Z27^(-c_RRP))*(1-0.2))))</f>
        <v>14.392670945676471</v>
      </c>
      <c r="AD27" s="52">
        <f>IF(OR(RoPax!$B$31="Phase 3*",RoPax!$B$31="Phase 2*",RoPax!$B$31="Phase 1*",RoPax!$B$31="Phase 0*"),IF($Z27&gt;=10000,a_RRP2*10000^(-c_RRP)*(1-0.3),IF($Z27&lt;250,0,IF($Z27&lt;=1000,(a_RRP2*$Z27^(-c_RRP))*(1-(0.3/750*($Z27-250))),(a_RRP2*$Z27^(-c_RRP))*(1-0.3)))),IF($Z27&lt;250,0,IF($Z27&lt;=1000,(a_RRP*$Z27^(-c_RRP))*(1-(0.3/750*($Z27-250))),(a_RRP*$Z27^(-c_RRP))*(1-0.3))))</f>
        <v>12.593587077466912</v>
      </c>
      <c r="AE27" s="54">
        <v>18000</v>
      </c>
      <c r="AF27" s="52">
        <f t="shared" si="21"/>
        <v>17.950469560025361</v>
      </c>
      <c r="AG27" s="52">
        <f t="shared" si="22"/>
        <v>17.052946082024093</v>
      </c>
      <c r="AH27" s="52">
        <f t="shared" si="23"/>
        <v>15.257899126021556</v>
      </c>
      <c r="AI27" s="52">
        <f t="shared" si="24"/>
        <v>12.565328692017752</v>
      </c>
      <c r="AJ27" s="54">
        <v>18000</v>
      </c>
      <c r="AK27" s="52">
        <f t="shared" si="25"/>
        <v>7.7279027853789195</v>
      </c>
      <c r="AL27" s="52">
        <f t="shared" si="26"/>
        <v>7.3415076461099735</v>
      </c>
      <c r="AM27" s="52">
        <f t="shared" si="27"/>
        <v>6.5687173675720816</v>
      </c>
      <c r="AN27" s="52">
        <f t="shared" si="28"/>
        <v>5.4095319497652437</v>
      </c>
      <c r="AO27" s="54">
        <v>18000</v>
      </c>
      <c r="AP27" s="52">
        <f t="shared" si="29"/>
        <v>12.847356052128225</v>
      </c>
      <c r="AQ27" s="52">
        <f t="shared" si="30"/>
        <v>11.562620446915403</v>
      </c>
      <c r="AR27" s="52">
        <f t="shared" si="31"/>
        <v>10.27788484170258</v>
      </c>
      <c r="AS27" s="52">
        <f t="shared" si="32"/>
        <v>8.9931492364897565</v>
      </c>
      <c r="AT27" s="54">
        <v>18000</v>
      </c>
      <c r="AU27" s="52">
        <f t="shared" si="4"/>
        <v>21.671897464842029</v>
      </c>
      <c r="AV27" s="52">
        <f t="shared" si="33"/>
        <v>19.504707718357828</v>
      </c>
      <c r="AW27" s="52">
        <f t="shared" si="34"/>
        <v>17.337517971873623</v>
      </c>
      <c r="AX27" s="52">
        <f t="shared" si="35"/>
        <v>15.170328225389419</v>
      </c>
      <c r="AY27" s="54">
        <v>25000</v>
      </c>
      <c r="AZ27" s="52">
        <f t="shared" si="5"/>
        <v>19.184373741530624</v>
      </c>
      <c r="BA27" s="52">
        <f t="shared" si="6"/>
        <v>17.265936367377563</v>
      </c>
      <c r="BB27" s="52">
        <f t="shared" si="7"/>
        <v>16.306717680301031</v>
      </c>
      <c r="BC27" s="52">
        <f t="shared" si="8"/>
        <v>13.429061619071437</v>
      </c>
    </row>
    <row r="28" spans="1:55" x14ac:dyDescent="0.2">
      <c r="A28" s="54">
        <v>24000</v>
      </c>
      <c r="B28" s="52">
        <f t="shared" si="9"/>
        <v>22.944338954174135</v>
      </c>
      <c r="C28" s="52">
        <f t="shared" si="10"/>
        <v>20.649905058756723</v>
      </c>
      <c r="D28" s="52">
        <f t="shared" si="11"/>
        <v>18.35547116333931</v>
      </c>
      <c r="E28" s="52">
        <f t="shared" si="12"/>
        <v>16.061037267921893</v>
      </c>
      <c r="F28" s="54">
        <v>160000</v>
      </c>
      <c r="G28" s="52">
        <f t="shared" si="13"/>
        <v>3.167488345089168</v>
      </c>
      <c r="H28" s="52">
        <f t="shared" si="14"/>
        <v>2.8507395105802513</v>
      </c>
      <c r="I28" s="52">
        <f t="shared" si="15"/>
        <v>2.5339906760713347</v>
      </c>
      <c r="J28" s="52">
        <f t="shared" si="16"/>
        <v>2.2172418415624175</v>
      </c>
      <c r="K28" s="54">
        <v>45000</v>
      </c>
      <c r="L28" s="52">
        <f t="shared" si="17"/>
        <v>10.622671583334551</v>
      </c>
      <c r="M28" s="52">
        <f t="shared" si="18"/>
        <v>9.5604044250010958</v>
      </c>
      <c r="N28" s="52">
        <f t="shared" si="19"/>
        <v>9.0292708458343682</v>
      </c>
      <c r="O28" s="52">
        <f t="shared" si="20"/>
        <v>7.4358701083341847</v>
      </c>
      <c r="P28" s="54">
        <v>24000</v>
      </c>
      <c r="Q28" s="52">
        <f t="shared" si="0"/>
        <v>8.8795173385367399</v>
      </c>
      <c r="R28" s="52">
        <f t="shared" si="1"/>
        <v>7.9915656046830659</v>
      </c>
      <c r="S28" s="52">
        <f t="shared" si="2"/>
        <v>7.1036138708293919</v>
      </c>
      <c r="T28" s="52">
        <f t="shared" si="3"/>
        <v>6.2156621369757179</v>
      </c>
      <c r="U28" s="54">
        <v>19000</v>
      </c>
      <c r="V28" s="52">
        <f>IF(OR('RoRo Cargo'!$B$29="Phase 3*",'RoRo Cargo'!$B$29="Phase 2*",'RoRo Cargo'!$B$29="Phase 1*",'RoRo Cargo'!$B$29="Phase 0*"),IF($U28&gt;=17000,a_RRC2*17000^(-c_RRC)*(1-(0/1000*($U28-1000))),IF($U28&lt;1000,0,IF($U28&lt;=2000,(a_RRC2*$U28^(-c_RRC))*(1-(0/1000*($U28-1000))),(a_RRC2*$U28^(-c_RRC))*(1-0)))),IF($U28&lt;1000,0,IF($U28&lt;=2000,(a_RRC*$U28^(-c_RRC))*(1-(0/1000*($U28-1000))),(a_RRC*$U28^(-c_RRC))*(1-0))))</f>
        <v>10.396888691158566</v>
      </c>
      <c r="W28" s="52">
        <f>IF(OR('RoRo Cargo'!$B$29="Phase 3*",'RoRo Cargo'!$B$29="Phase 2*",'RoRo Cargo'!$B$29="Phase 1*",'RoRo Cargo'!$B$29="Phase 0*"),IF($U28&gt;=17000,a_RRC2*17000^(-c_RRC)*(1-(0.05)),IF($U28&lt;1000,0,IF($U28&lt;=2000,(a_RRC2*$U28^(-c_RRC))*(1-(0.05/1000*($U28-1000))),(a_RRC2*$U28^(-c_RRC))*(1-0.05)))),IF($U28&lt;1000,0,IF($U28&lt;=2000,(a_RRC*$U28^(-c_RRC))*(1-(0.05/1000*($U28-1000))),(a_RRC*$U28^(-c_RRC))*(1-0.05))))</f>
        <v>9.8770442566006373</v>
      </c>
      <c r="X28" s="52">
        <f>IF(OR('RoRo Cargo'!$B$29="Phase 3*",'RoRo Cargo'!$B$29="Phase 2*",'RoRo Cargo'!$B$29="Phase 1*",'RoRo Cargo'!$B$29="Phase 0*"),IF($U28&gt;=17000,a_RRC2*17000^(-c_RRC)*(1-(0.2)),IF($U28&lt;1000,0,IF($U28&lt;=2000,(a_RRC2*$U28^(-c_RRC))*(1-(0.2/1000*($U28-1000))),(a_RRC2*$U28^(-c_RRC))*(1-0.2)))),IF($U28&lt;1000,0,IF($U28&lt;=2000,(a_RRC*$U28^(-c_RRC))*(1-(0.2/1000*($U28-1000))),(a_RRC*$U28^(-c_RRC))*(1-0.2))))</f>
        <v>8.3175109529268525</v>
      </c>
      <c r="Y28" s="52">
        <f>IF(OR('RoRo Cargo'!$B$29="Phase 3*",'RoRo Cargo'!$B$29="Phase 2*",'RoRo Cargo'!$B$29="Phase 1*",'RoRo Cargo'!$B$29="Phase 0*"),IF($U28&gt;=17000,a_RRC2*17000^(-c_RRC)*(1-(0.3)),IF($U28&lt;1000,0,IF($U28&lt;=2000,(a_RRC2*$U28^(-c_RRC))*(1-(0.3/1000*($U28-1000))),(a_RRC2*$U28^(-c_RRC))*(1-0.3)))),IF($U28&lt;1000,0,IF($U28&lt;=2000,(a_RRC*$U28^(-c_RRC))*(1-(0.3/1000*($U28-1000))),(a_RRC*$U28^(-c_RRC))*(1-0.3))))</f>
        <v>7.277822083810995</v>
      </c>
      <c r="Z28" s="54">
        <v>19000</v>
      </c>
      <c r="AA28" s="52">
        <f>IF(OR(RoPax!$B$31="Phase 3*",RoPax!$B$31="Phase 2*",RoPax!$B$31="Phase 1*",RoPax!$B$31="Phase 0*"),IF($Z28&gt;=10000,a_RRP2*10000^(-c_RRP)*(1-0),IF($Z28&lt;250,0,IF($Z28&lt;=1000,(a_RRP2*$Z28^(-c_RRP))*(1-(0/750*($Z28-250))),(a_RRP2*$Z28^(-c_RRP))*(1-0)))),IF($Z28&lt;250,0,IF($Z28&lt;=1000,(a_RRP*$Z28^(-c_RRP))*(1-(0/750*($Z28-250))),(a_RRP*$Z28^(-c_RRP))*(1-0))))</f>
        <v>17.624025474121115</v>
      </c>
      <c r="AB28" s="52">
        <f>IF(OR(RoPax!$B$31="Phase 3*",RoPax!$B$31="Phase 2*",RoPax!$B$31="Phase 1*",RoPax!$B$31="Phase 0*"),IF($Z28&gt;=10000,a_RRP2*10000^(-c_RRP)*(1-0.05),IF($Z28&lt;250,0,IF($Z28&lt;=1000,(a_RRP2*$Z28^(-c_RRP))*(1-(0.05/750*($Z28-250))),(a_RRP2*$Z28^(-c_RRP))*(1-0.05)))),IF($Z28&lt;250,0,IF($Z28&lt;=1000,(a_RRP*$Z28^(-c_RRP))*(1-(0.05/750*($Z28-250))),(a_RRP*$Z28^(-c_RRP))*(1-0.05))))</f>
        <v>16.742824200415058</v>
      </c>
      <c r="AC28" s="52">
        <f>IF(OR(RoPax!$B$31="Phase 3*",RoPax!$B$31="Phase 2*",RoPax!$B$31="Phase 1*",RoPax!$B$31="Phase 0*"),IF($Z28&gt;=10000,a_RRP2*10000^(-c_RRP)*(1-0.2),IF($Z28&lt;250,0,IF($Z28&lt;=1000,(a_RRP2*$Z28^(-c_RRP))*(1-(0.2/750*($Z28-250))),(a_RRP2*$Z28^(-c_RRP))*(1-0.2)))),IF($Z28&lt;250,0,IF($Z28&lt;=1000,(a_RRP*$Z28^(-c_RRP))*(1-(0.2/750*($Z28-250))),(a_RRP*$Z28^(-c_RRP))*(1-0.2))))</f>
        <v>14.099220379296893</v>
      </c>
      <c r="AD28" s="52">
        <f>IF(OR(RoPax!$B$31="Phase 3*",RoPax!$B$31="Phase 2*",RoPax!$B$31="Phase 1*",RoPax!$B$31="Phase 0*"),IF($Z28&gt;=10000,a_RRP2*10000^(-c_RRP)*(1-0.3),IF($Z28&lt;250,0,IF($Z28&lt;=1000,(a_RRP2*$Z28^(-c_RRP))*(1-(0.3/750*($Z28-250))),(a_RRP2*$Z28^(-c_RRP))*(1-0.3)))),IF($Z28&lt;250,0,IF($Z28&lt;=1000,(a_RRP*$Z28^(-c_RRP))*(1-(0.3/750*($Z28-250))),(a_RRP*$Z28^(-c_RRP))*(1-0.3))))</f>
        <v>12.33681783188478</v>
      </c>
      <c r="AE28" s="54">
        <v>19000</v>
      </c>
      <c r="AF28" s="52">
        <f t="shared" si="21"/>
        <v>17.499120328212005</v>
      </c>
      <c r="AG28" s="52">
        <f t="shared" si="22"/>
        <v>16.624164311801405</v>
      </c>
      <c r="AH28" s="52">
        <f t="shared" si="23"/>
        <v>14.874252278980203</v>
      </c>
      <c r="AI28" s="52">
        <f t="shared" si="24"/>
        <v>12.249384229748403</v>
      </c>
      <c r="AJ28" s="54">
        <v>19000</v>
      </c>
      <c r="AK28" s="52">
        <f t="shared" si="25"/>
        <v>7.5335912675634402</v>
      </c>
      <c r="AL28" s="52">
        <f t="shared" si="26"/>
        <v>7.1569117041852675</v>
      </c>
      <c r="AM28" s="52">
        <f t="shared" si="27"/>
        <v>6.4035525774289237</v>
      </c>
      <c r="AN28" s="52">
        <f t="shared" si="28"/>
        <v>5.2735138872944081</v>
      </c>
      <c r="AO28" s="54">
        <v>19000</v>
      </c>
      <c r="AP28" s="52">
        <f t="shared" si="29"/>
        <v>12.534481700538526</v>
      </c>
      <c r="AQ28" s="52">
        <f t="shared" si="30"/>
        <v>11.281033530484674</v>
      </c>
      <c r="AR28" s="52">
        <f t="shared" si="31"/>
        <v>10.027585360430821</v>
      </c>
      <c r="AS28" s="52">
        <f t="shared" si="32"/>
        <v>8.7741371903769672</v>
      </c>
      <c r="AT28" s="54">
        <v>19000</v>
      </c>
      <c r="AU28" s="52">
        <f t="shared" si="4"/>
        <v>21.12354955277176</v>
      </c>
      <c r="AV28" s="52">
        <f t="shared" si="33"/>
        <v>19.011194597494583</v>
      </c>
      <c r="AW28" s="52">
        <f t="shared" si="34"/>
        <v>16.898839642217407</v>
      </c>
      <c r="AX28" s="52">
        <f t="shared" si="35"/>
        <v>14.786484686940231</v>
      </c>
      <c r="AY28" s="54">
        <v>26000</v>
      </c>
      <c r="AZ28" s="52">
        <f t="shared" si="5"/>
        <v>19.001657762641358</v>
      </c>
      <c r="BA28" s="52">
        <f t="shared" si="6"/>
        <v>17.101491986377223</v>
      </c>
      <c r="BB28" s="52">
        <f t="shared" si="7"/>
        <v>16.151409098245153</v>
      </c>
      <c r="BC28" s="52">
        <f t="shared" si="8"/>
        <v>13.301160433848949</v>
      </c>
    </row>
    <row r="29" spans="1:55" x14ac:dyDescent="0.2">
      <c r="A29" s="54">
        <v>25000</v>
      </c>
      <c r="B29" s="52">
        <f t="shared" si="9"/>
        <v>22.756845847784316</v>
      </c>
      <c r="C29" s="52">
        <f t="shared" si="10"/>
        <v>20.481161263005884</v>
      </c>
      <c r="D29" s="52">
        <f t="shared" si="11"/>
        <v>18.205476678227452</v>
      </c>
      <c r="E29" s="52">
        <f t="shared" si="12"/>
        <v>15.92979209344902</v>
      </c>
      <c r="F29" s="54">
        <v>170000</v>
      </c>
      <c r="G29" s="52">
        <f t="shared" si="13"/>
        <v>3.0772028201549162</v>
      </c>
      <c r="H29" s="52">
        <f t="shared" si="14"/>
        <v>2.7694825381394246</v>
      </c>
      <c r="I29" s="52">
        <f t="shared" si="15"/>
        <v>2.461762256123933</v>
      </c>
      <c r="J29" s="52">
        <f t="shared" si="16"/>
        <v>2.1540419741084413</v>
      </c>
      <c r="K29" s="54">
        <v>47500</v>
      </c>
      <c r="L29" s="52">
        <f t="shared" si="17"/>
        <v>10.499336092748544</v>
      </c>
      <c r="M29" s="52">
        <f t="shared" si="18"/>
        <v>9.4494024834736905</v>
      </c>
      <c r="N29" s="52">
        <f t="shared" si="19"/>
        <v>8.9244356788362627</v>
      </c>
      <c r="O29" s="52">
        <f t="shared" si="20"/>
        <v>7.3495352649239809</v>
      </c>
      <c r="P29" s="54">
        <v>25000</v>
      </c>
      <c r="Q29" s="52">
        <f t="shared" si="0"/>
        <v>8.7043775730777835</v>
      </c>
      <c r="R29" s="52">
        <f t="shared" si="1"/>
        <v>7.8339398157700053</v>
      </c>
      <c r="S29" s="52">
        <f t="shared" si="2"/>
        <v>6.9635020584622271</v>
      </c>
      <c r="T29" s="52">
        <f t="shared" si="3"/>
        <v>6.0930643011544481</v>
      </c>
      <c r="U29" s="54">
        <v>20000</v>
      </c>
      <c r="V29" s="52">
        <f>IF(OR('RoRo Cargo'!$B$29="Phase 3*",'RoRo Cargo'!$B$29="Phase 2*",'RoRo Cargo'!$B$29="Phase 1*",'RoRo Cargo'!$B$29="Phase 0*"),IF($U29&gt;=17000,a_RRC2*17000^(-c_RRC)*(1-(0/1000*($U29-1000))),IF($U29&lt;1000,0,IF($U29&lt;=2000,(a_RRC2*$U29^(-c_RRC))*(1-(0/1000*($U29-1000))),(a_RRC2*$U29^(-c_RRC))*(1-0)))),IF($U29&lt;1000,0,IF($U29&lt;=2000,(a_RRC*$U29^(-c_RRC))*(1-(0/1000*($U29-1000))),(a_RRC*$U29^(-c_RRC))*(1-0))))</f>
        <v>10.134673218086183</v>
      </c>
      <c r="W29" s="52">
        <f>IF(OR('RoRo Cargo'!$B$29="Phase 3*",'RoRo Cargo'!$B$29="Phase 2*",'RoRo Cargo'!$B$29="Phase 1*",'RoRo Cargo'!$B$29="Phase 0*"),IF($U29&gt;=17000,a_RRC2*17000^(-c_RRC)*(1-(0.05)),IF($U29&lt;1000,0,IF($U29&lt;=2000,(a_RRC2*$U29^(-c_RRC))*(1-(0.05/1000*($U29-1000))),(a_RRC2*$U29^(-c_RRC))*(1-0.05)))),IF($U29&lt;1000,0,IF($U29&lt;=2000,(a_RRC*$U29^(-c_RRC))*(1-(0.05/1000*($U29-1000))),(a_RRC*$U29^(-c_RRC))*(1-0.05))))</f>
        <v>9.6279395571818736</v>
      </c>
      <c r="X29" s="52">
        <f>IF(OR('RoRo Cargo'!$B$29="Phase 3*",'RoRo Cargo'!$B$29="Phase 2*",'RoRo Cargo'!$B$29="Phase 1*",'RoRo Cargo'!$B$29="Phase 0*"),IF($U29&gt;=17000,a_RRC2*17000^(-c_RRC)*(1-(0.2)),IF($U29&lt;1000,0,IF($U29&lt;=2000,(a_RRC2*$U29^(-c_RRC))*(1-(0.2/1000*($U29-1000))),(a_RRC2*$U29^(-c_RRC))*(1-0.2)))),IF($U29&lt;1000,0,IF($U29&lt;=2000,(a_RRC*$U29^(-c_RRC))*(1-(0.2/1000*($U29-1000))),(a_RRC*$U29^(-c_RRC))*(1-0.2))))</f>
        <v>8.1077385744689465</v>
      </c>
      <c r="Y29" s="52">
        <f>IF(OR('RoRo Cargo'!$B$29="Phase 3*",'RoRo Cargo'!$B$29="Phase 2*",'RoRo Cargo'!$B$29="Phase 1*",'RoRo Cargo'!$B$29="Phase 0*"),IF($U29&gt;=17000,a_RRC2*17000^(-c_RRC)*(1-(0.3)),IF($U29&lt;1000,0,IF($U29&lt;=2000,(a_RRC2*$U29^(-c_RRC))*(1-(0.3/1000*($U29-1000))),(a_RRC2*$U29^(-c_RRC))*(1-0.3)))),IF($U29&lt;1000,0,IF($U29&lt;=2000,(a_RRC*$U29^(-c_RRC))*(1-(0.3/1000*($U29-1000))),(a_RRC*$U29^(-c_RRC))*(1-0.3))))</f>
        <v>7.0942712526603273</v>
      </c>
      <c r="Z29" s="54">
        <v>20000</v>
      </c>
      <c r="AA29" s="52">
        <f>IF(OR(RoPax!$B$31="Phase 3*",RoPax!$B$31="Phase 2*",RoPax!$B$31="Phase 1*",RoPax!$B$31="Phase 0*"),IF($Z29&gt;=10000,a_RRP2*10000^(-c_RRP)*(1-0),IF($Z29&lt;250,0,IF($Z29&lt;=1000,(a_RRP2*$Z29^(-c_RRP))*(1-(0/750*($Z29-250))),(a_RRP2*$Z29^(-c_RRP))*(1-0)))),IF($Z29&lt;250,0,IF($Z29&lt;=1000,(a_RRP*$Z29^(-c_RRP))*(1-(0/750*($Z29-250))),(a_RRP*$Z29^(-c_RRP))*(1-0))))</f>
        <v>17.28294729282733</v>
      </c>
      <c r="AB29" s="52">
        <f>IF(OR(RoPax!$B$31="Phase 3*",RoPax!$B$31="Phase 2*",RoPax!$B$31="Phase 1*",RoPax!$B$31="Phase 0*"),IF($Z29&gt;=10000,a_RRP2*10000^(-c_RRP)*(1-0.05),IF($Z29&lt;250,0,IF($Z29&lt;=1000,(a_RRP2*$Z29^(-c_RRP))*(1-(0.05/750*($Z29-250))),(a_RRP2*$Z29^(-c_RRP))*(1-0.05)))),IF($Z29&lt;250,0,IF($Z29&lt;=1000,(a_RRP*$Z29^(-c_RRP))*(1-(0.05/750*($Z29-250))),(a_RRP*$Z29^(-c_RRP))*(1-0.05))))</f>
        <v>16.418799928185962</v>
      </c>
      <c r="AC29" s="52">
        <f>IF(OR(RoPax!$B$31="Phase 3*",RoPax!$B$31="Phase 2*",RoPax!$B$31="Phase 1*",RoPax!$B$31="Phase 0*"),IF($Z29&gt;=10000,a_RRP2*10000^(-c_RRP)*(1-0.2),IF($Z29&lt;250,0,IF($Z29&lt;=1000,(a_RRP2*$Z29^(-c_RRP))*(1-(0.2/750*($Z29-250))),(a_RRP2*$Z29^(-c_RRP))*(1-0.2)))),IF($Z29&lt;250,0,IF($Z29&lt;=1000,(a_RRP*$Z29^(-c_RRP))*(1-(0.2/750*($Z29-250))),(a_RRP*$Z29^(-c_RRP))*(1-0.2))))</f>
        <v>13.826357834261865</v>
      </c>
      <c r="AD29" s="52">
        <f>IF(OR(RoPax!$B$31="Phase 3*",RoPax!$B$31="Phase 2*",RoPax!$B$31="Phase 1*",RoPax!$B$31="Phase 0*"),IF($Z29&gt;=10000,a_RRP2*10000^(-c_RRP)*(1-0.3),IF($Z29&lt;250,0,IF($Z29&lt;=1000,(a_RRP2*$Z29^(-c_RRP))*(1-(0.3/750*($Z29-250))),(a_RRP2*$Z29^(-c_RRP))*(1-0.3)))),IF($Z29&lt;250,0,IF($Z29&lt;=1000,(a_RRP*$Z29^(-c_RRP))*(1-(0.3/750*($Z29-250))),(a_RRP*$Z29^(-c_RRP))*(1-0.3))))</f>
        <v>12.098063104979131</v>
      </c>
      <c r="AE29" s="54">
        <v>20000</v>
      </c>
      <c r="AF29" s="52">
        <f t="shared" si="21"/>
        <v>17.081422527576382</v>
      </c>
      <c r="AG29" s="52">
        <f t="shared" si="22"/>
        <v>16.227351401197563</v>
      </c>
      <c r="AH29" s="52">
        <f t="shared" si="23"/>
        <v>14.519209148439925</v>
      </c>
      <c r="AI29" s="52">
        <f t="shared" si="24"/>
        <v>11.956995769303466</v>
      </c>
      <c r="AJ29" s="54">
        <v>20000</v>
      </c>
      <c r="AK29" s="52">
        <f t="shared" si="25"/>
        <v>7.353767113872939</v>
      </c>
      <c r="AL29" s="52">
        <f t="shared" si="26"/>
        <v>6.9860787581792918</v>
      </c>
      <c r="AM29" s="52">
        <f t="shared" si="27"/>
        <v>6.2507020467919983</v>
      </c>
      <c r="AN29" s="52">
        <f t="shared" si="28"/>
        <v>5.1476369797110566</v>
      </c>
      <c r="AO29" s="54">
        <v>20000</v>
      </c>
      <c r="AP29" s="52">
        <f t="shared" si="29"/>
        <v>12.24470551041617</v>
      </c>
      <c r="AQ29" s="52">
        <f t="shared" si="30"/>
        <v>11.020234959374553</v>
      </c>
      <c r="AR29" s="52">
        <f t="shared" si="31"/>
        <v>9.7957644083329356</v>
      </c>
      <c r="AS29" s="52">
        <f t="shared" si="32"/>
        <v>8.5712938572913178</v>
      </c>
      <c r="AT29" s="54">
        <v>20000</v>
      </c>
      <c r="AU29" s="52">
        <f t="shared" si="4"/>
        <v>20.616165253826779</v>
      </c>
      <c r="AV29" s="52">
        <f t="shared" si="33"/>
        <v>18.5545487284441</v>
      </c>
      <c r="AW29" s="52">
        <f t="shared" si="34"/>
        <v>16.492932203061425</v>
      </c>
      <c r="AX29" s="52">
        <f t="shared" si="35"/>
        <v>14.431315677678745</v>
      </c>
      <c r="AY29" s="54">
        <v>27000</v>
      </c>
      <c r="AZ29" s="52">
        <f t="shared" si="5"/>
        <v>18.827481530315765</v>
      </c>
      <c r="BA29" s="52">
        <f t="shared" si="6"/>
        <v>16.944733377284191</v>
      </c>
      <c r="BB29" s="52">
        <f t="shared" si="7"/>
        <v>16.003359300768398</v>
      </c>
      <c r="BC29" s="52">
        <f t="shared" si="8"/>
        <v>13.179237071221035</v>
      </c>
    </row>
    <row r="30" spans="1:55" x14ac:dyDescent="0.2">
      <c r="A30" s="54">
        <v>26000</v>
      </c>
      <c r="B30" s="52">
        <f t="shared" si="9"/>
        <v>22.578150648452041</v>
      </c>
      <c r="C30" s="52">
        <f t="shared" si="10"/>
        <v>20.320335583606838</v>
      </c>
      <c r="D30" s="52">
        <f t="shared" si="11"/>
        <v>18.062520518761634</v>
      </c>
      <c r="E30" s="52">
        <f t="shared" si="12"/>
        <v>15.804705453916428</v>
      </c>
      <c r="F30" s="54">
        <v>180000</v>
      </c>
      <c r="G30" s="52">
        <f t="shared" si="13"/>
        <v>2.9944376340364061</v>
      </c>
      <c r="H30" s="52">
        <f t="shared" si="14"/>
        <v>2.6949938706327656</v>
      </c>
      <c r="I30" s="52">
        <f t="shared" si="15"/>
        <v>2.3955501072291248</v>
      </c>
      <c r="J30" s="52">
        <f t="shared" si="16"/>
        <v>2.0961063438254843</v>
      </c>
      <c r="K30" s="54">
        <v>50000</v>
      </c>
      <c r="L30" s="52">
        <f t="shared" si="17"/>
        <v>10.383652290862543</v>
      </c>
      <c r="M30" s="52">
        <f t="shared" si="18"/>
        <v>9.345287061776288</v>
      </c>
      <c r="N30" s="52">
        <f t="shared" si="19"/>
        <v>8.8261044472331616</v>
      </c>
      <c r="O30" s="52">
        <f t="shared" si="20"/>
        <v>7.2685566036037796</v>
      </c>
      <c r="P30" s="54">
        <v>26000</v>
      </c>
      <c r="Q30" s="52">
        <f t="shared" si="0"/>
        <v>8.5393625351105076</v>
      </c>
      <c r="R30" s="52">
        <f t="shared" si="1"/>
        <v>7.6854262815994572</v>
      </c>
      <c r="S30" s="52">
        <f t="shared" si="2"/>
        <v>6.8314900280884068</v>
      </c>
      <c r="T30" s="52">
        <f t="shared" si="3"/>
        <v>5.9775537745773546</v>
      </c>
      <c r="U30" s="54">
        <v>21000</v>
      </c>
      <c r="V30" s="52">
        <f>IF(OR('RoRo Cargo'!$B$29="Phase 3*",'RoRo Cargo'!$B$29="Phase 2*",'RoRo Cargo'!$B$29="Phase 1*",'RoRo Cargo'!$B$29="Phase 0*"),IF($U30&gt;=17000,a_RRC2*17000^(-c_RRC)*(1-(0/1000*($U30-1000))),IF($U30&lt;1000,0,IF($U30&lt;=2000,(a_RRC2*$U30^(-c_RRC))*(1-(0/1000*($U30-1000))),(a_RRC2*$U30^(-c_RRC))*(1-0)))),IF($U30&lt;1000,0,IF($U30&lt;=2000,(a_RRC*$U30^(-c_RRC))*(1-(0/1000*($U30-1000))),(a_RRC*$U30^(-c_RRC))*(1-0))))</f>
        <v>9.8913934911734458</v>
      </c>
      <c r="W30" s="52">
        <f>IF(OR('RoRo Cargo'!$B$29="Phase 3*",'RoRo Cargo'!$B$29="Phase 2*",'RoRo Cargo'!$B$29="Phase 1*",'RoRo Cargo'!$B$29="Phase 0*"),IF($U30&gt;=17000,a_RRC2*17000^(-c_RRC)*(1-(0.05)),IF($U30&lt;1000,0,IF($U30&lt;=2000,(a_RRC2*$U30^(-c_RRC))*(1-(0.05/1000*($U30-1000))),(a_RRC2*$U30^(-c_RRC))*(1-0.05)))),IF($U30&lt;1000,0,IF($U30&lt;=2000,(a_RRC*$U30^(-c_RRC))*(1-(0.05/1000*($U30-1000))),(a_RRC*$U30^(-c_RRC))*(1-0.05))))</f>
        <v>9.3968238166147735</v>
      </c>
      <c r="X30" s="52">
        <f>IF(OR('RoRo Cargo'!$B$29="Phase 3*",'RoRo Cargo'!$B$29="Phase 2*",'RoRo Cargo'!$B$29="Phase 1*",'RoRo Cargo'!$B$29="Phase 0*"),IF($U30&gt;=17000,a_RRC2*17000^(-c_RRC)*(1-(0.2)),IF($U30&lt;1000,0,IF($U30&lt;=2000,(a_RRC2*$U30^(-c_RRC))*(1-(0.2/1000*($U30-1000))),(a_RRC2*$U30^(-c_RRC))*(1-0.2)))),IF($U30&lt;1000,0,IF($U30&lt;=2000,(a_RRC*$U30^(-c_RRC))*(1-(0.2/1000*($U30-1000))),(a_RRC*$U30^(-c_RRC))*(1-0.2))))</f>
        <v>7.9131147929387566</v>
      </c>
      <c r="Y30" s="52">
        <f>IF(OR('RoRo Cargo'!$B$29="Phase 3*",'RoRo Cargo'!$B$29="Phase 2*",'RoRo Cargo'!$B$29="Phase 1*",'RoRo Cargo'!$B$29="Phase 0*"),IF($U30&gt;=17000,a_RRC2*17000^(-c_RRC)*(1-(0.3)),IF($U30&lt;1000,0,IF($U30&lt;=2000,(a_RRC2*$U30^(-c_RRC))*(1-(0.3/1000*($U30-1000))),(a_RRC2*$U30^(-c_RRC))*(1-0.3)))),IF($U30&lt;1000,0,IF($U30&lt;=2000,(a_RRC*$U30^(-c_RRC))*(1-(0.3/1000*($U30-1000))),(a_RRC*$U30^(-c_RRC))*(1-0.3))))</f>
        <v>6.9239754438214121</v>
      </c>
      <c r="Z30" s="54">
        <v>21000</v>
      </c>
      <c r="AA30" s="52">
        <f>IF(OR(RoPax!$B$31="Phase 3*",RoPax!$B$31="Phase 2*",RoPax!$B$31="Phase 1*",RoPax!$B$31="Phase 0*"),IF($Z30&gt;=10000,a_RRP2*10000^(-c_RRP)*(1-0),IF($Z30&lt;250,0,IF($Z30&lt;=1000,(a_RRP2*$Z30^(-c_RRP))*(1-(0/750*($Z30-250))),(a_RRP2*$Z30^(-c_RRP))*(1-0)))),IF($Z30&lt;250,0,IF($Z30&lt;=1000,(a_RRP*$Z30^(-c_RRP))*(1-(0/750*($Z30-250))),(a_RRP*$Z30^(-c_RRP))*(1-0))))</f>
        <v>16.964641346298794</v>
      </c>
      <c r="AB30" s="52">
        <f>IF(OR(RoPax!$B$31="Phase 3*",RoPax!$B$31="Phase 2*",RoPax!$B$31="Phase 1*",RoPax!$B$31="Phase 0*"),IF($Z30&gt;=10000,a_RRP2*10000^(-c_RRP)*(1-0.05),IF($Z30&lt;250,0,IF($Z30&lt;=1000,(a_RRP2*$Z30^(-c_RRP))*(1-(0.05/750*($Z30-250))),(a_RRP2*$Z30^(-c_RRP))*(1-0.05)))),IF($Z30&lt;250,0,IF($Z30&lt;=1000,(a_RRP*$Z30^(-c_RRP))*(1-(0.05/750*($Z30-250))),(a_RRP*$Z30^(-c_RRP))*(1-0.05))))</f>
        <v>16.116409278983856</v>
      </c>
      <c r="AC30" s="52">
        <f>IF(OR(RoPax!$B$31="Phase 3*",RoPax!$B$31="Phase 2*",RoPax!$B$31="Phase 1*",RoPax!$B$31="Phase 0*"),IF($Z30&gt;=10000,a_RRP2*10000^(-c_RRP)*(1-0.2),IF($Z30&lt;250,0,IF($Z30&lt;=1000,(a_RRP2*$Z30^(-c_RRP))*(1-(0.2/750*($Z30-250))),(a_RRP2*$Z30^(-c_RRP))*(1-0.2)))),IF($Z30&lt;250,0,IF($Z30&lt;=1000,(a_RRP*$Z30^(-c_RRP))*(1-(0.2/750*($Z30-250))),(a_RRP*$Z30^(-c_RRP))*(1-0.2))))</f>
        <v>13.571713077039036</v>
      </c>
      <c r="AD30" s="52">
        <f>IF(OR(RoPax!$B$31="Phase 3*",RoPax!$B$31="Phase 2*",RoPax!$B$31="Phase 1*",RoPax!$B$31="Phase 0*"),IF($Z30&gt;=10000,a_RRP2*10000^(-c_RRP)*(1-0.3),IF($Z30&lt;250,0,IF($Z30&lt;=1000,(a_RRP2*$Z30^(-c_RRP))*(1-(0.3/750*($Z30-250))),(a_RRP2*$Z30^(-c_RRP))*(1-0.3)))),IF($Z30&lt;250,0,IF($Z30&lt;=1000,(a_RRP*$Z30^(-c_RRP))*(1-(0.3/750*($Z30-250))),(a_RRP*$Z30^(-c_RRP))*(1-0.3))))</f>
        <v>11.875248942409156</v>
      </c>
      <c r="AE30" s="54">
        <v>21000</v>
      </c>
      <c r="AF30" s="52">
        <f t="shared" si="21"/>
        <v>16.693364476489393</v>
      </c>
      <c r="AG30" s="52">
        <f t="shared" si="22"/>
        <v>15.858696252664922</v>
      </c>
      <c r="AH30" s="52">
        <f t="shared" si="23"/>
        <v>14.189359805015984</v>
      </c>
      <c r="AI30" s="52">
        <f t="shared" si="24"/>
        <v>11.685355133542574</v>
      </c>
      <c r="AJ30" s="54">
        <v>21000</v>
      </c>
      <c r="AK30" s="52">
        <f t="shared" si="25"/>
        <v>7.1867032449387143</v>
      </c>
      <c r="AL30" s="52">
        <f t="shared" si="26"/>
        <v>6.8273680826917786</v>
      </c>
      <c r="AM30" s="52">
        <f t="shared" si="27"/>
        <v>6.1086977581979074</v>
      </c>
      <c r="AN30" s="52">
        <f t="shared" si="28"/>
        <v>5.0306922714570996</v>
      </c>
      <c r="AO30" s="54">
        <v>21000</v>
      </c>
      <c r="AP30" s="52">
        <f t="shared" si="29"/>
        <v>11.975289585040134</v>
      </c>
      <c r="AQ30" s="52">
        <f t="shared" si="30"/>
        <v>10.777760626536121</v>
      </c>
      <c r="AR30" s="52">
        <f t="shared" si="31"/>
        <v>9.5802316680321074</v>
      </c>
      <c r="AS30" s="52">
        <f t="shared" si="32"/>
        <v>8.3827027095280933</v>
      </c>
      <c r="AT30" s="54">
        <v>21000</v>
      </c>
      <c r="AU30" s="52">
        <f t="shared" si="4"/>
        <v>20.144855614511037</v>
      </c>
      <c r="AV30" s="52">
        <f t="shared" si="33"/>
        <v>18.130370053059934</v>
      </c>
      <c r="AW30" s="52">
        <f t="shared" si="34"/>
        <v>16.115884491608831</v>
      </c>
      <c r="AX30" s="52">
        <f t="shared" si="35"/>
        <v>14.101398930157725</v>
      </c>
      <c r="AY30" s="54">
        <v>30000</v>
      </c>
      <c r="AZ30" s="52">
        <f t="shared" si="5"/>
        <v>18.34963384182165</v>
      </c>
      <c r="BA30" s="52">
        <f t="shared" si="6"/>
        <v>16.514670457639486</v>
      </c>
      <c r="BB30" s="52">
        <f t="shared" si="7"/>
        <v>15.597188765548403</v>
      </c>
      <c r="BC30" s="52">
        <f t="shared" si="8"/>
        <v>12.844743689275154</v>
      </c>
    </row>
    <row r="31" spans="1:55" x14ac:dyDescent="0.2">
      <c r="A31" s="54">
        <v>27000</v>
      </c>
      <c r="B31" s="52">
        <f t="shared" si="9"/>
        <v>22.407525163616157</v>
      </c>
      <c r="C31" s="52">
        <f t="shared" si="10"/>
        <v>20.166772647254543</v>
      </c>
      <c r="D31" s="52">
        <f t="shared" si="11"/>
        <v>17.926020130892926</v>
      </c>
      <c r="E31" s="52">
        <f t="shared" si="12"/>
        <v>15.685267614531309</v>
      </c>
      <c r="F31" s="54">
        <v>190000</v>
      </c>
      <c r="G31" s="52">
        <f t="shared" si="13"/>
        <v>2.9181982294548408</v>
      </c>
      <c r="H31" s="52">
        <f t="shared" si="14"/>
        <v>2.6263784065093567</v>
      </c>
      <c r="I31" s="52">
        <f t="shared" si="15"/>
        <v>2.3345585835638727</v>
      </c>
      <c r="J31" s="52">
        <f t="shared" si="16"/>
        <v>2.0427387606183882</v>
      </c>
      <c r="K31" s="54">
        <v>55000</v>
      </c>
      <c r="L31" s="52">
        <f t="shared" si="17"/>
        <v>10.172069453809467</v>
      </c>
      <c r="M31" s="52">
        <f t="shared" si="18"/>
        <v>9.1548625084285202</v>
      </c>
      <c r="N31" s="52">
        <f t="shared" si="19"/>
        <v>8.646259035738046</v>
      </c>
      <c r="O31" s="52">
        <f t="shared" si="20"/>
        <v>7.120448617666626</v>
      </c>
      <c r="P31" s="54">
        <v>27000</v>
      </c>
      <c r="Q31" s="52">
        <f t="shared" si="0"/>
        <v>8.3835301132711422</v>
      </c>
      <c r="R31" s="52">
        <f t="shared" si="1"/>
        <v>7.5451771019440281</v>
      </c>
      <c r="S31" s="52">
        <f t="shared" si="2"/>
        <v>6.7068240906169141</v>
      </c>
      <c r="T31" s="52">
        <f t="shared" si="3"/>
        <v>5.8684710792897992</v>
      </c>
      <c r="U31" s="54">
        <v>22000</v>
      </c>
      <c r="V31" s="52">
        <f>IF(OR('RoRo Cargo'!$B$29="Phase 3*",'RoRo Cargo'!$B$29="Phase 2*",'RoRo Cargo'!$B$29="Phase 1*",'RoRo Cargo'!$B$29="Phase 0*"),IF($U31&gt;=17000,a_RRC2*17000^(-c_RRC)*(1-(0/1000*($U31-1000))),IF($U31&lt;1000,0,IF($U31&lt;=2000,(a_RRC2*$U31^(-c_RRC))*(1-(0/1000*($U31-1000))),(a_RRC2*$U31^(-c_RRC))*(1-0)))),IF($U31&lt;1000,0,IF($U31&lt;=2000,(a_RRC*$U31^(-c_RRC))*(1-(0/1000*($U31-1000))),(a_RRC*$U31^(-c_RRC))*(1-0))))</f>
        <v>9.6648739138345796</v>
      </c>
      <c r="W31" s="52">
        <f>IF(OR('RoRo Cargo'!$B$29="Phase 3*",'RoRo Cargo'!$B$29="Phase 2*",'RoRo Cargo'!$B$29="Phase 1*",'RoRo Cargo'!$B$29="Phase 0*"),IF($U31&gt;=17000,a_RRC2*17000^(-c_RRC)*(1-(0.05)),IF($U31&lt;1000,0,IF($U31&lt;=2000,(a_RRC2*$U31^(-c_RRC))*(1-(0.05/1000*($U31-1000))),(a_RRC2*$U31^(-c_RRC))*(1-0.05)))),IF($U31&lt;1000,0,IF($U31&lt;=2000,(a_RRC*$U31^(-c_RRC))*(1-(0.05/1000*($U31-1000))),(a_RRC*$U31^(-c_RRC))*(1-0.05))))</f>
        <v>9.1816302181428497</v>
      </c>
      <c r="X31" s="52">
        <f>IF(OR('RoRo Cargo'!$B$29="Phase 3*",'RoRo Cargo'!$B$29="Phase 2*",'RoRo Cargo'!$B$29="Phase 1*",'RoRo Cargo'!$B$29="Phase 0*"),IF($U31&gt;=17000,a_RRC2*17000^(-c_RRC)*(1-(0.2)),IF($U31&lt;1000,0,IF($U31&lt;=2000,(a_RRC2*$U31^(-c_RRC))*(1-(0.2/1000*($U31-1000))),(a_RRC2*$U31^(-c_RRC))*(1-0.2)))),IF($U31&lt;1000,0,IF($U31&lt;=2000,(a_RRC*$U31^(-c_RRC))*(1-(0.2/1000*($U31-1000))),(a_RRC*$U31^(-c_RRC))*(1-0.2))))</f>
        <v>7.7318991310676637</v>
      </c>
      <c r="Y31" s="52">
        <f>IF(OR('RoRo Cargo'!$B$29="Phase 3*",'RoRo Cargo'!$B$29="Phase 2*",'RoRo Cargo'!$B$29="Phase 1*",'RoRo Cargo'!$B$29="Phase 0*"),IF($U31&gt;=17000,a_RRC2*17000^(-c_RRC)*(1-(0.3)),IF($U31&lt;1000,0,IF($U31&lt;=2000,(a_RRC2*$U31^(-c_RRC))*(1-(0.3/1000*($U31-1000))),(a_RRC2*$U31^(-c_RRC))*(1-0.3)))),IF($U31&lt;1000,0,IF($U31&lt;=2000,(a_RRC*$U31^(-c_RRC))*(1-(0.3/1000*($U31-1000))),(a_RRC*$U31^(-c_RRC))*(1-0.3))))</f>
        <v>6.7654117396842057</v>
      </c>
      <c r="Z31" s="54">
        <v>22000</v>
      </c>
      <c r="AA31" s="52">
        <f>IF(OR(RoPax!$B$31="Phase 3*",RoPax!$B$31="Phase 2*",RoPax!$B$31="Phase 1*",RoPax!$B$31="Phase 0*"),IF($Z31&gt;=10000,a_RRP2*10000^(-c_RRP)*(1-0),IF($Z31&lt;250,0,IF($Z31&lt;=1000,(a_RRP2*$Z31^(-c_RRP))*(1-(0/750*($Z31-250))),(a_RRP2*$Z31^(-c_RRP))*(1-0)))),IF($Z31&lt;250,0,IF($Z31&lt;=1000,(a_RRP*$Z31^(-c_RRP))*(1-(0/750*($Z31-250))),(a_RRP*$Z31^(-c_RRP))*(1-0))))</f>
        <v>16.666606908341656</v>
      </c>
      <c r="AB31" s="52">
        <f>IF(OR(RoPax!$B$31="Phase 3*",RoPax!$B$31="Phase 2*",RoPax!$B$31="Phase 1*",RoPax!$B$31="Phase 0*"),IF($Z31&gt;=10000,a_RRP2*10000^(-c_RRP)*(1-0.05),IF($Z31&lt;250,0,IF($Z31&lt;=1000,(a_RRP2*$Z31^(-c_RRP))*(1-(0.05/750*($Z31-250))),(a_RRP2*$Z31^(-c_RRP))*(1-0.05)))),IF($Z31&lt;250,0,IF($Z31&lt;=1000,(a_RRP*$Z31^(-c_RRP))*(1-(0.05/750*($Z31-250))),(a_RRP*$Z31^(-c_RRP))*(1-0.05))))</f>
        <v>15.833276562924572</v>
      </c>
      <c r="AC31" s="52">
        <f>IF(OR(RoPax!$B$31="Phase 3*",RoPax!$B$31="Phase 2*",RoPax!$B$31="Phase 1*",RoPax!$B$31="Phase 0*"),IF($Z31&gt;=10000,a_RRP2*10000^(-c_RRP)*(1-0.2),IF($Z31&lt;250,0,IF($Z31&lt;=1000,(a_RRP2*$Z31^(-c_RRP))*(1-(0.2/750*($Z31-250))),(a_RRP2*$Z31^(-c_RRP))*(1-0.2)))),IF($Z31&lt;250,0,IF($Z31&lt;=1000,(a_RRP*$Z31^(-c_RRP))*(1-(0.2/750*($Z31-250))),(a_RRP*$Z31^(-c_RRP))*(1-0.2))))</f>
        <v>13.333285526673325</v>
      </c>
      <c r="AD31" s="52">
        <f>IF(OR(RoPax!$B$31="Phase 3*",RoPax!$B$31="Phase 2*",RoPax!$B$31="Phase 1*",RoPax!$B$31="Phase 0*"),IF($Z31&gt;=10000,a_RRP2*10000^(-c_RRP)*(1-0.3),IF($Z31&lt;250,0,IF($Z31&lt;=1000,(a_RRP2*$Z31^(-c_RRP))*(1-(0.3/750*($Z31-250))),(a_RRP2*$Z31^(-c_RRP))*(1-0.3)))),IF($Z31&lt;250,0,IF($Z31&lt;=1000,(a_RRP*$Z31^(-c_RRP))*(1-(0.3/750*($Z31-250))),(a_RRP*$Z31^(-c_RRP))*(1-0.3))))</f>
        <v>11.666624835839158</v>
      </c>
      <c r="AE31" s="54">
        <v>22000</v>
      </c>
      <c r="AF31" s="52">
        <f t="shared" si="21"/>
        <v>16.331575420963819</v>
      </c>
      <c r="AG31" s="52">
        <f t="shared" si="22"/>
        <v>15.514996649915627</v>
      </c>
      <c r="AH31" s="52">
        <f t="shared" si="23"/>
        <v>13.881839107819246</v>
      </c>
      <c r="AI31" s="52">
        <f t="shared" si="24"/>
        <v>11.432102794674673</v>
      </c>
      <c r="AJ31" s="54">
        <v>22000</v>
      </c>
      <c r="AK31" s="52">
        <f t="shared" si="25"/>
        <v>7.0309485087984456</v>
      </c>
      <c r="AL31" s="52">
        <f t="shared" si="26"/>
        <v>6.6794010833585231</v>
      </c>
      <c r="AM31" s="52">
        <f t="shared" si="27"/>
        <v>5.9763062324786782</v>
      </c>
      <c r="AN31" s="52">
        <f t="shared" si="28"/>
        <v>4.9216639561589117</v>
      </c>
      <c r="AO31" s="54">
        <v>22000</v>
      </c>
      <c r="AP31" s="52">
        <f t="shared" si="29"/>
        <v>11.723931713681697</v>
      </c>
      <c r="AQ31" s="52">
        <f t="shared" si="30"/>
        <v>10.551538542313528</v>
      </c>
      <c r="AR31" s="52">
        <f t="shared" si="31"/>
        <v>9.3791453709453574</v>
      </c>
      <c r="AS31" s="52">
        <f t="shared" si="32"/>
        <v>8.2067521995771884</v>
      </c>
      <c r="AT31" s="54">
        <v>22000</v>
      </c>
      <c r="AU31" s="52">
        <f t="shared" si="4"/>
        <v>19.705513385944993</v>
      </c>
      <c r="AV31" s="52">
        <f t="shared" si="33"/>
        <v>17.734962047350493</v>
      </c>
      <c r="AW31" s="52">
        <f t="shared" si="34"/>
        <v>15.764410708755996</v>
      </c>
      <c r="AX31" s="52">
        <f t="shared" si="35"/>
        <v>13.793859370161494</v>
      </c>
      <c r="AY31" s="54">
        <v>35000</v>
      </c>
      <c r="AZ31" s="52">
        <f t="shared" si="5"/>
        <v>17.672271942038737</v>
      </c>
      <c r="BA31" s="52">
        <f t="shared" si="6"/>
        <v>15.905044747834864</v>
      </c>
      <c r="BB31" s="52">
        <f t="shared" si="7"/>
        <v>15.021431150732926</v>
      </c>
      <c r="BC31" s="52">
        <f t="shared" si="8"/>
        <v>12.370590359427116</v>
      </c>
    </row>
    <row r="32" spans="1:55" x14ac:dyDescent="0.2">
      <c r="A32" s="54">
        <v>28000</v>
      </c>
      <c r="B32" s="52">
        <f t="shared" si="9"/>
        <v>22.244325686682444</v>
      </c>
      <c r="C32" s="52">
        <f t="shared" si="10"/>
        <v>20.019893118014199</v>
      </c>
      <c r="D32" s="52">
        <f t="shared" si="11"/>
        <v>17.795460549345957</v>
      </c>
      <c r="E32" s="52">
        <f t="shared" si="12"/>
        <v>15.571027980677711</v>
      </c>
      <c r="F32" s="54">
        <v>200000</v>
      </c>
      <c r="G32" s="52">
        <f t="shared" si="13"/>
        <v>2.8476653402189367</v>
      </c>
      <c r="H32" s="52">
        <f t="shared" si="14"/>
        <v>2.562898806197043</v>
      </c>
      <c r="I32" s="52">
        <f t="shared" si="15"/>
        <v>2.2781322721751494</v>
      </c>
      <c r="J32" s="52">
        <f t="shared" si="16"/>
        <v>1.9933657381532555</v>
      </c>
      <c r="K32" s="54">
        <v>60000</v>
      </c>
      <c r="L32" s="52">
        <f t="shared" si="17"/>
        <v>9.9826762734590719</v>
      </c>
      <c r="M32" s="52">
        <f t="shared" si="18"/>
        <v>8.9844086461131649</v>
      </c>
      <c r="N32" s="52">
        <f t="shared" si="19"/>
        <v>8.4852748324402114</v>
      </c>
      <c r="O32" s="52">
        <f t="shared" si="20"/>
        <v>6.98787339142135</v>
      </c>
      <c r="P32" s="54">
        <v>30000</v>
      </c>
      <c r="Q32" s="52">
        <f t="shared" si="0"/>
        <v>7.9633769410445652</v>
      </c>
      <c r="R32" s="52">
        <f t="shared" si="1"/>
        <v>7.1670392469401092</v>
      </c>
      <c r="S32" s="52">
        <f t="shared" si="2"/>
        <v>6.3707015528356523</v>
      </c>
      <c r="T32" s="52">
        <f t="shared" si="3"/>
        <v>5.5743638587311954</v>
      </c>
      <c r="U32" s="54">
        <v>23000</v>
      </c>
      <c r="V32" s="52">
        <f>IF(OR('RoRo Cargo'!$B$29="Phase 3*",'RoRo Cargo'!$B$29="Phase 2*",'RoRo Cargo'!$B$29="Phase 1*",'RoRo Cargo'!$B$29="Phase 0*"),IF($U32&gt;=17000,a_RRC2*17000^(-c_RRC)*(1-(0/1000*($U32-1000))),IF($U32&lt;1000,0,IF($U32&lt;=2000,(a_RRC2*$U32^(-c_RRC))*(1-(0/1000*($U32-1000))),(a_RRC2*$U32^(-c_RRC))*(1-0)))),IF($U32&lt;1000,0,IF($U32&lt;=2000,(a_RRC*$U32^(-c_RRC))*(1-(0/1000*($U32-1000))),(a_RRC*$U32^(-c_RRC))*(1-0))))</f>
        <v>9.4532735522818925</v>
      </c>
      <c r="W32" s="52">
        <f>IF(OR('RoRo Cargo'!$B$29="Phase 3*",'RoRo Cargo'!$B$29="Phase 2*",'RoRo Cargo'!$B$29="Phase 1*",'RoRo Cargo'!$B$29="Phase 0*"),IF($U32&gt;=17000,a_RRC2*17000^(-c_RRC)*(1-(0.05)),IF($U32&lt;1000,0,IF($U32&lt;=2000,(a_RRC2*$U32^(-c_RRC))*(1-(0.05/1000*($U32-1000))),(a_RRC2*$U32^(-c_RRC))*(1-0.05)))),IF($U32&lt;1000,0,IF($U32&lt;=2000,(a_RRC*$U32^(-c_RRC))*(1-(0.05/1000*($U32-1000))),(a_RRC*$U32^(-c_RRC))*(1-0.05))))</f>
        <v>8.9806098746677971</v>
      </c>
      <c r="X32" s="52">
        <f>IF(OR('RoRo Cargo'!$B$29="Phase 3*",'RoRo Cargo'!$B$29="Phase 2*",'RoRo Cargo'!$B$29="Phase 1*",'RoRo Cargo'!$B$29="Phase 0*"),IF($U32&gt;=17000,a_RRC2*17000^(-c_RRC)*(1-(0.2)),IF($U32&lt;1000,0,IF($U32&lt;=2000,(a_RRC2*$U32^(-c_RRC))*(1-(0.2/1000*($U32-1000))),(a_RRC2*$U32^(-c_RRC))*(1-0.2)))),IF($U32&lt;1000,0,IF($U32&lt;=2000,(a_RRC*$U32^(-c_RRC))*(1-(0.2/1000*($U32-1000))),(a_RRC*$U32^(-c_RRC))*(1-0.2))))</f>
        <v>7.5626188418255147</v>
      </c>
      <c r="Y32" s="52">
        <f>IF(OR('RoRo Cargo'!$B$29="Phase 3*",'RoRo Cargo'!$B$29="Phase 2*",'RoRo Cargo'!$B$29="Phase 1*",'RoRo Cargo'!$B$29="Phase 0*"),IF($U32&gt;=17000,a_RRC2*17000^(-c_RRC)*(1-(0.3)),IF($U32&lt;1000,0,IF($U32&lt;=2000,(a_RRC2*$U32^(-c_RRC))*(1-(0.3/1000*($U32-1000))),(a_RRC2*$U32^(-c_RRC))*(1-0.3)))),IF($U32&lt;1000,0,IF($U32&lt;=2000,(a_RRC*$U32^(-c_RRC))*(1-(0.3/1000*($U32-1000))),(a_RRC*$U32^(-c_RRC))*(1-0.3))))</f>
        <v>6.617291486597324</v>
      </c>
      <c r="Z32" s="54">
        <v>23000</v>
      </c>
      <c r="AA32" s="52">
        <f>IF(OR(RoPax!$B$31="Phase 3*",RoPax!$B$31="Phase 2*",RoPax!$B$31="Phase 1*",RoPax!$B$31="Phase 0*"),IF($Z32&gt;=10000,a_RRP2*10000^(-c_RRP)*(1-0),IF($Z32&lt;250,0,IF($Z32&lt;=1000,(a_RRP2*$Z32^(-c_RRP))*(1-(0/750*($Z32-250))),(a_RRP2*$Z32^(-c_RRP))*(1-0)))),IF($Z32&lt;250,0,IF($Z32&lt;=1000,(a_RRP*$Z32^(-c_RRP))*(1-(0/750*($Z32-250))),(a_RRP*$Z32^(-c_RRP))*(1-0))))</f>
        <v>16.386716050990909</v>
      </c>
      <c r="AB32" s="52">
        <f>IF(OR(RoPax!$B$31="Phase 3*",RoPax!$B$31="Phase 2*",RoPax!$B$31="Phase 1*",RoPax!$B$31="Phase 0*"),IF($Z32&gt;=10000,a_RRP2*10000^(-c_RRP)*(1-0.05),IF($Z32&lt;250,0,IF($Z32&lt;=1000,(a_RRP2*$Z32^(-c_RRP))*(1-(0.05/750*($Z32-250))),(a_RRP2*$Z32^(-c_RRP))*(1-0.05)))),IF($Z32&lt;250,0,IF($Z32&lt;=1000,(a_RRP*$Z32^(-c_RRP))*(1-(0.05/750*($Z32-250))),(a_RRP*$Z32^(-c_RRP))*(1-0.05))))</f>
        <v>15.567380248441363</v>
      </c>
      <c r="AC32" s="52">
        <f>IF(OR(RoPax!$B$31="Phase 3*",RoPax!$B$31="Phase 2*",RoPax!$B$31="Phase 1*",RoPax!$B$31="Phase 0*"),IF($Z32&gt;=10000,a_RRP2*10000^(-c_RRP)*(1-0.2),IF($Z32&lt;250,0,IF($Z32&lt;=1000,(a_RRP2*$Z32^(-c_RRP))*(1-(0.2/750*($Z32-250))),(a_RRP2*$Z32^(-c_RRP))*(1-0.2)))),IF($Z32&lt;250,0,IF($Z32&lt;=1000,(a_RRP*$Z32^(-c_RRP))*(1-(0.2/750*($Z32-250))),(a_RRP*$Z32^(-c_RRP))*(1-0.2))))</f>
        <v>13.109372840792728</v>
      </c>
      <c r="AD32" s="52">
        <f>IF(OR(RoPax!$B$31="Phase 3*",RoPax!$B$31="Phase 2*",RoPax!$B$31="Phase 1*",RoPax!$B$31="Phase 0*"),IF($Z32&gt;=10000,a_RRP2*10000^(-c_RRP)*(1-0.3),IF($Z32&lt;250,0,IF($Z32&lt;=1000,(a_RRP2*$Z32^(-c_RRP))*(1-(0.3/750*($Z32-250))),(a_RRP2*$Z32^(-c_RRP))*(1-0.3)))),IF($Z32&lt;250,0,IF($Z32&lt;=1000,(a_RRP*$Z32^(-c_RRP))*(1-(0.3/750*($Z32-250))),(a_RRP*$Z32^(-c_RRP))*(1-0.3))))</f>
        <v>11.470701235693635</v>
      </c>
      <c r="AE32" s="54">
        <v>23000</v>
      </c>
      <c r="AF32" s="52">
        <f t="shared" si="21"/>
        <v>15.993199428879764</v>
      </c>
      <c r="AG32" s="52">
        <f t="shared" si="22"/>
        <v>15.193539457435776</v>
      </c>
      <c r="AH32" s="52">
        <f t="shared" si="23"/>
        <v>13.594219514547799</v>
      </c>
      <c r="AI32" s="52">
        <f t="shared" si="24"/>
        <v>11.195239600215835</v>
      </c>
      <c r="AJ32" s="54">
        <v>23000</v>
      </c>
      <c r="AK32" s="52">
        <f t="shared" si="25"/>
        <v>6.8852733907750681</v>
      </c>
      <c r="AL32" s="52">
        <f t="shared" si="26"/>
        <v>6.5410097212363141</v>
      </c>
      <c r="AM32" s="52">
        <f t="shared" si="27"/>
        <v>5.8524823821588079</v>
      </c>
      <c r="AN32" s="52">
        <f t="shared" si="28"/>
        <v>4.8196913735425477</v>
      </c>
      <c r="AO32" s="54">
        <v>23000</v>
      </c>
      <c r="AP32" s="52">
        <f t="shared" si="29"/>
        <v>11.488679906424206</v>
      </c>
      <c r="AQ32" s="52">
        <f t="shared" si="30"/>
        <v>10.339811915781786</v>
      </c>
      <c r="AR32" s="52">
        <f t="shared" si="31"/>
        <v>9.190943925139365</v>
      </c>
      <c r="AS32" s="52">
        <f t="shared" si="32"/>
        <v>8.0420759344969444</v>
      </c>
      <c r="AT32" s="54">
        <v>23000</v>
      </c>
      <c r="AU32" s="52">
        <f t="shared" si="4"/>
        <v>19.294659126872599</v>
      </c>
      <c r="AV32" s="52">
        <f t="shared" si="33"/>
        <v>17.365193214185339</v>
      </c>
      <c r="AW32" s="52">
        <f t="shared" si="34"/>
        <v>15.43572730149808</v>
      </c>
      <c r="AX32" s="52">
        <f t="shared" si="35"/>
        <v>13.506261388810819</v>
      </c>
      <c r="AY32" s="54">
        <v>40000</v>
      </c>
      <c r="AZ32" s="52">
        <f t="shared" si="5"/>
        <v>17.105759069511446</v>
      </c>
      <c r="BA32" s="52">
        <f t="shared" si="6"/>
        <v>15.395183162560302</v>
      </c>
      <c r="BB32" s="52">
        <f t="shared" si="7"/>
        <v>14.53989520908473</v>
      </c>
      <c r="BC32" s="52">
        <f t="shared" si="8"/>
        <v>11.974031348658011</v>
      </c>
    </row>
    <row r="33" spans="1:55" x14ac:dyDescent="0.2">
      <c r="A33" s="54"/>
      <c r="B33" s="52"/>
      <c r="C33" s="52"/>
      <c r="D33" s="52"/>
      <c r="E33" s="52"/>
      <c r="F33" s="54"/>
      <c r="G33" s="52"/>
      <c r="H33" s="52"/>
      <c r="I33" s="52"/>
      <c r="J33" s="52"/>
      <c r="K33" s="54"/>
      <c r="L33" s="52"/>
      <c r="M33" s="52"/>
      <c r="N33" s="52"/>
      <c r="O33" s="52"/>
      <c r="P33" s="54">
        <v>35000</v>
      </c>
      <c r="Q33" s="52">
        <f t="shared" si="0"/>
        <v>7.3863050520218163</v>
      </c>
      <c r="R33" s="52">
        <f t="shared" si="1"/>
        <v>6.6476745468196352</v>
      </c>
      <c r="S33" s="52">
        <f t="shared" si="2"/>
        <v>5.9090440416174532</v>
      </c>
      <c r="T33" s="52">
        <f t="shared" si="3"/>
        <v>5.1704135364152712</v>
      </c>
      <c r="U33" s="54">
        <v>24000</v>
      </c>
      <c r="V33" s="52">
        <f>IF(OR('RoRo Cargo'!$B$29="Phase 3*",'RoRo Cargo'!$B$29="Phase 2*",'RoRo Cargo'!$B$29="Phase 1*",'RoRo Cargo'!$B$29="Phase 0*"),IF($U33&gt;=17000,a_RRC2*17000^(-c_RRC)*(1-(0/1000*($U33-1000))),IF($U33&lt;1000,0,IF($U33&lt;=2000,(a_RRC2*$U33^(-c_RRC))*(1-(0/1000*($U33-1000))),(a_RRC2*$U33^(-c_RRC))*(1-0)))),IF($U33&lt;1000,0,IF($U33&lt;=2000,(a_RRC*$U33^(-c_RRC))*(1-(0/1000*($U33-1000))),(a_RRC*$U33^(-c_RRC))*(1-0))))</f>
        <v>9.2550227225635879</v>
      </c>
      <c r="W33" s="52">
        <f>IF(OR('RoRo Cargo'!$B$29="Phase 3*",'RoRo Cargo'!$B$29="Phase 2*",'RoRo Cargo'!$B$29="Phase 1*",'RoRo Cargo'!$B$29="Phase 0*"),IF($U33&gt;=17000,a_RRC2*17000^(-c_RRC)*(1-(0.05)),IF($U33&lt;1000,0,IF($U33&lt;=2000,(a_RRC2*$U33^(-c_RRC))*(1-(0.05/1000*($U33-1000))),(a_RRC2*$U33^(-c_RRC))*(1-0.05)))),IF($U33&lt;1000,0,IF($U33&lt;=2000,(a_RRC*$U33^(-c_RRC))*(1-(0.05/1000*($U33-1000))),(a_RRC*$U33^(-c_RRC))*(1-0.05))))</f>
        <v>8.7922715864354082</v>
      </c>
      <c r="X33" s="52">
        <f>IF(OR('RoRo Cargo'!$B$29="Phase 3*",'RoRo Cargo'!$B$29="Phase 2*",'RoRo Cargo'!$B$29="Phase 1*",'RoRo Cargo'!$B$29="Phase 0*"),IF($U33&gt;=17000,a_RRC2*17000^(-c_RRC)*(1-(0.2)),IF($U33&lt;1000,0,IF($U33&lt;=2000,(a_RRC2*$U33^(-c_RRC))*(1-(0.2/1000*($U33-1000))),(a_RRC2*$U33^(-c_RRC))*(1-0.2)))),IF($U33&lt;1000,0,IF($U33&lt;=2000,(a_RRC*$U33^(-c_RRC))*(1-(0.2/1000*($U33-1000))),(a_RRC*$U33^(-c_RRC))*(1-0.2))))</f>
        <v>7.4040181780508707</v>
      </c>
      <c r="Y33" s="52">
        <f>IF(OR('RoRo Cargo'!$B$29="Phase 3*",'RoRo Cargo'!$B$29="Phase 2*",'RoRo Cargo'!$B$29="Phase 1*",'RoRo Cargo'!$B$29="Phase 0*"),IF($U33&gt;=17000,a_RRC2*17000^(-c_RRC)*(1-(0.3)),IF($U33&lt;1000,0,IF($U33&lt;=2000,(a_RRC2*$U33^(-c_RRC))*(1-(0.3/1000*($U33-1000))),(a_RRC2*$U33^(-c_RRC))*(1-0.3)))),IF($U33&lt;1000,0,IF($U33&lt;=2000,(a_RRC*$U33^(-c_RRC))*(1-(0.3/1000*($U33-1000))),(a_RRC*$U33^(-c_RRC))*(1-0.3))))</f>
        <v>6.4785159057945112</v>
      </c>
      <c r="Z33" s="54">
        <v>24000</v>
      </c>
      <c r="AA33" s="52">
        <f>IF(OR(RoPax!$B$31="Phase 3*",RoPax!$B$31="Phase 2*",RoPax!$B$31="Phase 1*",RoPax!$B$31="Phase 0*"),IF($Z33&gt;=10000,a_RRP2*10000^(-c_RRP)*(1-0),IF($Z33&lt;250,0,IF($Z33&lt;=1000,(a_RRP2*$Z33^(-c_RRP))*(1-(0/750*($Z33-250))),(a_RRP2*$Z33^(-c_RRP))*(1-0)))),IF($Z33&lt;250,0,IF($Z33&lt;=1000,(a_RRP*$Z33^(-c_RRP))*(1-(0/750*($Z33-250))),(a_RRP*$Z33^(-c_RRP))*(1-0))))</f>
        <v>16.123144666514971</v>
      </c>
      <c r="AB33" s="52">
        <f>IF(OR(RoPax!$B$31="Phase 3*",RoPax!$B$31="Phase 2*",RoPax!$B$31="Phase 1*",RoPax!$B$31="Phase 0*"),IF($Z33&gt;=10000,a_RRP2*10000^(-c_RRP)*(1-0.05),IF($Z33&lt;250,0,IF($Z33&lt;=1000,(a_RRP2*$Z33^(-c_RRP))*(1-(0.05/750*($Z33-250))),(a_RRP2*$Z33^(-c_RRP))*(1-0.05)))),IF($Z33&lt;250,0,IF($Z33&lt;=1000,(a_RRP*$Z33^(-c_RRP))*(1-(0.05/750*($Z33-250))),(a_RRP*$Z33^(-c_RRP))*(1-0.05))))</f>
        <v>15.316987433189222</v>
      </c>
      <c r="AC33" s="52">
        <f>IF(OR(RoPax!$B$31="Phase 3*",RoPax!$B$31="Phase 2*",RoPax!$B$31="Phase 1*",RoPax!$B$31="Phase 0*"),IF($Z33&gt;=10000,a_RRP2*10000^(-c_RRP)*(1-0.2),IF($Z33&lt;250,0,IF($Z33&lt;=1000,(a_RRP2*$Z33^(-c_RRP))*(1-(0.2/750*($Z33-250))),(a_RRP2*$Z33^(-c_RRP))*(1-0.2)))),IF($Z33&lt;250,0,IF($Z33&lt;=1000,(a_RRP*$Z33^(-c_RRP))*(1-(0.2/750*($Z33-250))),(a_RRP*$Z33^(-c_RRP))*(1-0.2))))</f>
        <v>12.898515733211978</v>
      </c>
      <c r="AD33" s="52">
        <f>IF(OR(RoPax!$B$31="Phase 3*",RoPax!$B$31="Phase 2*",RoPax!$B$31="Phase 1*",RoPax!$B$31="Phase 0*"),IF($Z33&gt;=10000,a_RRP2*10000^(-c_RRP)*(1-0.3),IF($Z33&lt;250,0,IF($Z33&lt;=1000,(a_RRP2*$Z33^(-c_RRP))*(1-(0.3/750*($Z33-250))),(a_RRP2*$Z33^(-c_RRP))*(1-0.3)))),IF($Z33&lt;250,0,IF($Z33&lt;=1000,(a_RRP*$Z33^(-c_RRP))*(1-(0.3/750*($Z33-250))),(a_RRP*$Z33^(-c_RRP))*(1-0.3))))</f>
        <v>11.286201266560479</v>
      </c>
      <c r="AE33" s="54">
        <v>24000</v>
      </c>
      <c r="AF33" s="52">
        <f t="shared" si="21"/>
        <v>15.675798368164461</v>
      </c>
      <c r="AG33" s="52">
        <f t="shared" si="22"/>
        <v>14.892008449756238</v>
      </c>
      <c r="AH33" s="52">
        <f t="shared" si="23"/>
        <v>13.324428612939792</v>
      </c>
      <c r="AI33" s="52">
        <f>0.7*AF33</f>
        <v>10.973058857715122</v>
      </c>
      <c r="AJ33" s="54">
        <v>24000</v>
      </c>
      <c r="AK33" s="52">
        <f t="shared" si="25"/>
        <v>6.7486282443636139</v>
      </c>
      <c r="AL33" s="52">
        <f t="shared" si="26"/>
        <v>6.4111968321454329</v>
      </c>
      <c r="AM33" s="52">
        <f t="shared" si="27"/>
        <v>5.7363340077090719</v>
      </c>
      <c r="AN33" s="52">
        <f>0.7*AK33</f>
        <v>4.724039771054529</v>
      </c>
      <c r="AO33" s="54">
        <v>24000</v>
      </c>
      <c r="AP33" s="52">
        <f t="shared" si="29"/>
        <v>11.267866592407902</v>
      </c>
      <c r="AQ33" s="52">
        <f>0.9*AP33</f>
        <v>10.141079933167113</v>
      </c>
      <c r="AR33" s="52">
        <f>0.8*AP33</f>
        <v>9.014293273926322</v>
      </c>
      <c r="AS33" s="52">
        <f>0.7*AP33</f>
        <v>7.887506614685531</v>
      </c>
      <c r="AT33" s="54">
        <v>24000</v>
      </c>
      <c r="AU33" s="52">
        <f t="shared" si="4"/>
        <v>18.909322817261767</v>
      </c>
      <c r="AV33" s="52">
        <f>0.9*AU33</f>
        <v>17.018390535535591</v>
      </c>
      <c r="AW33" s="52">
        <f>0.8*AU33</f>
        <v>15.127458253809415</v>
      </c>
      <c r="AX33" s="52">
        <f>0.7*AU33</f>
        <v>13.236525972083236</v>
      </c>
      <c r="AY33" s="54">
        <v>45000</v>
      </c>
      <c r="AZ33" s="52">
        <f t="shared" si="5"/>
        <v>16.621152543417367</v>
      </c>
      <c r="BA33" s="52">
        <f t="shared" si="6"/>
        <v>14.95903728907563</v>
      </c>
      <c r="BB33" s="52">
        <f t="shared" si="7"/>
        <v>14.127979661904762</v>
      </c>
      <c r="BC33" s="52">
        <f t="shared" si="8"/>
        <v>11.634806780392156</v>
      </c>
    </row>
    <row r="34" spans="1:55" x14ac:dyDescent="0.2">
      <c r="A34" s="54"/>
      <c r="B34" s="52"/>
      <c r="C34" s="52"/>
      <c r="D34" s="52"/>
      <c r="E34" s="52"/>
      <c r="F34" s="54"/>
      <c r="G34" s="52"/>
      <c r="H34" s="52"/>
      <c r="I34" s="52"/>
      <c r="J34" s="52"/>
      <c r="K34" s="54"/>
      <c r="L34" s="52"/>
      <c r="M34" s="52"/>
      <c r="N34" s="52"/>
      <c r="O34" s="52"/>
      <c r="P34" s="54">
        <v>40000</v>
      </c>
      <c r="Q34" s="52">
        <f t="shared" si="0"/>
        <v>6.9203358200473843</v>
      </c>
      <c r="R34" s="52">
        <f t="shared" si="1"/>
        <v>6.2283022380426463</v>
      </c>
      <c r="S34" s="52">
        <f t="shared" si="2"/>
        <v>5.5362686560379082</v>
      </c>
      <c r="T34" s="52">
        <f t="shared" si="3"/>
        <v>4.8442350740331683</v>
      </c>
      <c r="U34" s="54">
        <v>25000</v>
      </c>
      <c r="V34" s="52">
        <f>IF(OR('RoRo Cargo'!$B$29="Phase 3*",'RoRo Cargo'!$B$29="Phase 2*",'RoRo Cargo'!$B$29="Phase 1*",'RoRo Cargo'!$B$29="Phase 0*"),IF($U34&gt;=17000,a_RRC2*17000^(-c_RRC)*(1-(0/1000*($U34-1000))),IF($U34&lt;1000,0,IF($U34&lt;=2000,(a_RRC2*$U34^(-c_RRC))*(1-(0/1000*($U34-1000))),(a_RRC2*$U34^(-c_RRC))*(1-0)))),IF($U34&lt;1000,0,IF($U34&lt;=2000,(a_RRC*$U34^(-c_RRC))*(1-(0/1000*($U34-1000))),(a_RRC*$U34^(-c_RRC))*(1-0))))</f>
        <v>9.0687736718919503</v>
      </c>
      <c r="W34" s="52">
        <f>IF(OR('RoRo Cargo'!$B$29="Phase 3*",'RoRo Cargo'!$B$29="Phase 2*",'RoRo Cargo'!$B$29="Phase 1*",'RoRo Cargo'!$B$29="Phase 0*"),IF($U34&gt;=17000,a_RRC2*17000^(-c_RRC)*(1-(0.05)),IF($U34&lt;1000,0,IF($U34&lt;=2000,(a_RRC2*$U34^(-c_RRC))*(1-(0.05/1000*($U34-1000))),(a_RRC2*$U34^(-c_RRC))*(1-0.05)))),IF($U34&lt;1000,0,IF($U34&lt;=2000,(a_RRC*$U34^(-c_RRC))*(1-(0.05/1000*($U34-1000))),(a_RRC*$U34^(-c_RRC))*(1-0.05))))</f>
        <v>8.6153349882973522</v>
      </c>
      <c r="X34" s="52">
        <f>IF(OR('RoRo Cargo'!$B$29="Phase 3*",'RoRo Cargo'!$B$29="Phase 2*",'RoRo Cargo'!$B$29="Phase 1*",'RoRo Cargo'!$B$29="Phase 0*"),IF($U34&gt;=17000,a_RRC2*17000^(-c_RRC)*(1-(0.2)),IF($U34&lt;1000,0,IF($U34&lt;=2000,(a_RRC2*$U34^(-c_RRC))*(1-(0.2/1000*($U34-1000))),(a_RRC2*$U34^(-c_RRC))*(1-0.2)))),IF($U34&lt;1000,0,IF($U34&lt;=2000,(a_RRC*$U34^(-c_RRC))*(1-(0.2/1000*($U34-1000))),(a_RRC*$U34^(-c_RRC))*(1-0.2))))</f>
        <v>7.2550189375135608</v>
      </c>
      <c r="Y34" s="52">
        <f>IF(OR('RoRo Cargo'!$B$29="Phase 3*",'RoRo Cargo'!$B$29="Phase 2*",'RoRo Cargo'!$B$29="Phase 1*",'RoRo Cargo'!$B$29="Phase 0*"),IF($U34&gt;=17000,a_RRC2*17000^(-c_RRC)*(1-(0.3)),IF($U34&lt;1000,0,IF($U34&lt;=2000,(a_RRC2*$U34^(-c_RRC))*(1-(0.3/1000*($U34-1000))),(a_RRC2*$U34^(-c_RRC))*(1-0.3)))),IF($U34&lt;1000,0,IF($U34&lt;=2000,(a_RRC*$U34^(-c_RRC))*(1-(0.3/1000*($U34-1000))),(a_RRC*$U34^(-c_RRC))*(1-0.3))))</f>
        <v>6.3481415703243647</v>
      </c>
      <c r="Z34" s="54">
        <v>25000</v>
      </c>
      <c r="AA34" s="52">
        <f>IF(OR(RoPax!$B$31="Phase 3*",RoPax!$B$31="Phase 2*",RoPax!$B$31="Phase 1*",RoPax!$B$31="Phase 0*"),IF($Z34&gt;=10000,a_RRP2*10000^(-c_RRP)*(1-0),IF($Z34&lt;250,0,IF($Z34&lt;=1000,(a_RRP2*$Z34^(-c_RRP))*(1-(0/750*($Z34-250))),(a_RRP2*$Z34^(-c_RRP))*(1-0)))),IF($Z34&lt;250,0,IF($Z34&lt;=1000,(a_RRP*$Z34^(-c_RRP))*(1-(0/750*($Z34-250))),(a_RRP*$Z34^(-c_RRP))*(1-0))))</f>
        <v>15.874318531517289</v>
      </c>
      <c r="AB34" s="52">
        <f>IF(OR(RoPax!$B$31="Phase 3*",RoPax!$B$31="Phase 2*",RoPax!$B$31="Phase 1*",RoPax!$B$31="Phase 0*"),IF($Z34&gt;=10000,a_RRP2*10000^(-c_RRP)*(1-0.05),IF($Z34&lt;250,0,IF($Z34&lt;=1000,(a_RRP2*$Z34^(-c_RRP))*(1-(0.05/750*($Z34-250))),(a_RRP2*$Z34^(-c_RRP))*(1-0.05)))),IF($Z34&lt;250,0,IF($Z34&lt;=1000,(a_RRP*$Z34^(-c_RRP))*(1-(0.05/750*($Z34-250))),(a_RRP*$Z34^(-c_RRP))*(1-0.05))))</f>
        <v>15.080602604941424</v>
      </c>
      <c r="AC34" s="52">
        <f>IF(OR(RoPax!$B$31="Phase 3*",RoPax!$B$31="Phase 2*",RoPax!$B$31="Phase 1*",RoPax!$B$31="Phase 0*"),IF($Z34&gt;=10000,a_RRP2*10000^(-c_RRP)*(1-0.2),IF($Z34&lt;250,0,IF($Z34&lt;=1000,(a_RRP2*$Z34^(-c_RRP))*(1-(0.2/750*($Z34-250))),(a_RRP2*$Z34^(-c_RRP))*(1-0.2)))),IF($Z34&lt;250,0,IF($Z34&lt;=1000,(a_RRP*$Z34^(-c_RRP))*(1-(0.2/750*($Z34-250))),(a_RRP*$Z34^(-c_RRP))*(1-0.2))))</f>
        <v>12.699454825213833</v>
      </c>
      <c r="AD34" s="52">
        <f>IF(OR(RoPax!$B$31="Phase 3*",RoPax!$B$31="Phase 2*",RoPax!$B$31="Phase 1*",RoPax!$B$31="Phase 0*"),IF($Z34&gt;=10000,a_RRP2*10000^(-c_RRP)*(1-0.3),IF($Z34&lt;250,0,IF($Z34&lt;=1000,(a_RRP2*$Z34^(-c_RRP))*(1-(0.3/750*($Z34-250))),(a_RRP2*$Z34^(-c_RRP))*(1-0.3)))),IF($Z34&lt;250,0,IF($Z34&lt;=1000,(a_RRP*$Z34^(-c_RRP))*(1-(0.3/750*($Z34-250))),(a_RRP*$Z34^(-c_RRP))*(1-0.3))))</f>
        <v>11.112022972062102</v>
      </c>
      <c r="AE34" s="54">
        <v>25000</v>
      </c>
      <c r="AF34" s="52">
        <f t="shared" si="21"/>
        <v>15.377276355584513</v>
      </c>
      <c r="AG34" s="52">
        <f t="shared" si="22"/>
        <v>14.608412537805286</v>
      </c>
      <c r="AH34" s="52">
        <f t="shared" si="23"/>
        <v>13.070684902246835</v>
      </c>
      <c r="AI34" s="52">
        <f t="shared" ref="AI34:AI51" si="36">0.7*AF34</f>
        <v>10.764093448909158</v>
      </c>
      <c r="AJ34" s="54">
        <v>25000</v>
      </c>
      <c r="AK34" s="52">
        <f t="shared" si="25"/>
        <v>6.620110765486575</v>
      </c>
      <c r="AL34" s="52">
        <f t="shared" si="26"/>
        <v>6.2891052272122456</v>
      </c>
      <c r="AM34" s="52">
        <f t="shared" si="27"/>
        <v>5.6270941506635888</v>
      </c>
      <c r="AN34" s="52">
        <f t="shared" ref="AN34:AN51" si="37">0.7*AK34</f>
        <v>4.6340775358406026</v>
      </c>
      <c r="AO34" s="54">
        <v>25000</v>
      </c>
      <c r="AP34" s="52">
        <f t="shared" si="29"/>
        <v>11.060057344470179</v>
      </c>
      <c r="AQ34" s="52">
        <f t="shared" ref="AQ34:AQ51" si="38">0.9*AP34</f>
        <v>9.9540516100231606</v>
      </c>
      <c r="AR34" s="52">
        <f t="shared" ref="AR34:AR51" si="39">0.8*AP34</f>
        <v>8.848045875576144</v>
      </c>
      <c r="AS34" s="52">
        <f t="shared" ref="AS34:AS51" si="40">0.7*AP34</f>
        <v>7.7420401411291246</v>
      </c>
      <c r="AT34" s="54">
        <v>25000</v>
      </c>
      <c r="AU34" s="52">
        <f t="shared" si="4"/>
        <v>18.546951683132466</v>
      </c>
      <c r="AV34" s="52">
        <f t="shared" ref="AV34:AV51" si="41">0.9*AU34</f>
        <v>16.692256514819221</v>
      </c>
      <c r="AW34" s="52">
        <f t="shared" ref="AW34:AW51" si="42">0.8*AU34</f>
        <v>14.837561346505973</v>
      </c>
      <c r="AX34" s="52">
        <f t="shared" ref="AX34:AX51" si="43">0.7*AU34</f>
        <v>12.982866178192726</v>
      </c>
      <c r="AY34" s="54">
        <v>50000</v>
      </c>
      <c r="AZ34" s="52">
        <f t="shared" si="5"/>
        <v>16.199302212017955</v>
      </c>
      <c r="BA34" s="52">
        <f t="shared" si="6"/>
        <v>14.57937199081616</v>
      </c>
      <c r="BB34" s="52">
        <f t="shared" si="7"/>
        <v>13.769406880215261</v>
      </c>
      <c r="BC34" s="52">
        <f t="shared" si="8"/>
        <v>11.339511548412567</v>
      </c>
    </row>
    <row r="35" spans="1:55" x14ac:dyDescent="0.2">
      <c r="A35" s="54"/>
      <c r="B35" s="52"/>
      <c r="C35" s="52"/>
      <c r="D35" s="52"/>
      <c r="E35" s="52"/>
      <c r="F35" s="54"/>
      <c r="G35" s="52"/>
      <c r="H35" s="52"/>
      <c r="I35" s="52"/>
      <c r="J35" s="52"/>
      <c r="K35" s="54"/>
      <c r="L35" s="52"/>
      <c r="M35" s="52"/>
      <c r="N35" s="52"/>
      <c r="O35" s="52"/>
      <c r="P35" s="54">
        <v>45000</v>
      </c>
      <c r="Q35" s="52">
        <f t="shared" si="0"/>
        <v>6.5337834850015399</v>
      </c>
      <c r="R35" s="52">
        <f t="shared" si="1"/>
        <v>5.8804051365013859</v>
      </c>
      <c r="S35" s="52">
        <f t="shared" si="2"/>
        <v>5.2270267880012327</v>
      </c>
      <c r="T35" s="52">
        <f t="shared" si="3"/>
        <v>4.5736484395010777</v>
      </c>
      <c r="U35" s="54">
        <v>26000</v>
      </c>
      <c r="V35" s="52">
        <f>IF(OR('RoRo Cargo'!$B$29="Phase 3*",'RoRo Cargo'!$B$29="Phase 2*",'RoRo Cargo'!$B$29="Phase 1*",'RoRo Cargo'!$B$29="Phase 0*"),IF($U35&gt;=17000,a_RRC2*17000^(-c_RRC)*(1-(0/1000*($U35-1000))),IF($U35&lt;1000,0,IF($U35&lt;=2000,(a_RRC2*$U35^(-c_RRC))*(1-(0/1000*($U35-1000))),(a_RRC2*$U35^(-c_RRC))*(1-0)))),IF($U35&lt;1000,0,IF($U35&lt;=2000,(a_RRC*$U35^(-c_RRC))*(1-(0/1000*($U35-1000))),(a_RRC*$U35^(-c_RRC))*(1-0))))</f>
        <v>8.8933617954957782</v>
      </c>
      <c r="W35" s="52">
        <f>IF(OR('RoRo Cargo'!$B$29="Phase 3*",'RoRo Cargo'!$B$29="Phase 2*",'RoRo Cargo'!$B$29="Phase 1*",'RoRo Cargo'!$B$29="Phase 0*"),IF($U35&gt;=17000,a_RRC2*17000^(-c_RRC)*(1-(0.05)),IF($U35&lt;1000,0,IF($U35&lt;=2000,(a_RRC2*$U35^(-c_RRC))*(1-(0.05/1000*($U35-1000))),(a_RRC2*$U35^(-c_RRC))*(1-0.05)))),IF($U35&lt;1000,0,IF($U35&lt;=2000,(a_RRC*$U35^(-c_RRC))*(1-(0.05/1000*($U35-1000))),(a_RRC*$U35^(-c_RRC))*(1-0.05))))</f>
        <v>8.4486937057209897</v>
      </c>
      <c r="X35" s="52">
        <f>IF(OR('RoRo Cargo'!$B$29="Phase 3*",'RoRo Cargo'!$B$29="Phase 2*",'RoRo Cargo'!$B$29="Phase 1*",'RoRo Cargo'!$B$29="Phase 0*"),IF($U35&gt;=17000,a_RRC2*17000^(-c_RRC)*(1-(0.2)),IF($U35&lt;1000,0,IF($U35&lt;=2000,(a_RRC2*$U35^(-c_RRC))*(1-(0.2/1000*($U35-1000))),(a_RRC2*$U35^(-c_RRC))*(1-0.2)))),IF($U35&lt;1000,0,IF($U35&lt;=2000,(a_RRC*$U35^(-c_RRC))*(1-(0.2/1000*($U35-1000))),(a_RRC*$U35^(-c_RRC))*(1-0.2))))</f>
        <v>7.1146894363966231</v>
      </c>
      <c r="Y35" s="52">
        <f>IF(OR('RoRo Cargo'!$B$29="Phase 3*",'RoRo Cargo'!$B$29="Phase 2*",'RoRo Cargo'!$B$29="Phase 1*",'RoRo Cargo'!$B$29="Phase 0*"),IF($U35&gt;=17000,a_RRC2*17000^(-c_RRC)*(1-(0.3)),IF($U35&lt;1000,0,IF($U35&lt;=2000,(a_RRC2*$U35^(-c_RRC))*(1-(0.3/1000*($U35-1000))),(a_RRC2*$U35^(-c_RRC))*(1-0.3)))),IF($U35&lt;1000,0,IF($U35&lt;=2000,(a_RRC*$U35^(-c_RRC))*(1-(0.3/1000*($U35-1000))),(a_RRC*$U35^(-c_RRC))*(1-0.3))))</f>
        <v>6.2253532568470442</v>
      </c>
      <c r="Z35" s="54">
        <v>26000</v>
      </c>
      <c r="AA35" s="52">
        <f>IF(OR(RoPax!$B$31="Phase 3*",RoPax!$B$31="Phase 2*",RoPax!$B$31="Phase 1*",RoPax!$B$31="Phase 0*"),IF($Z35&gt;=10000,a_RRP2*10000^(-c_RRP)*(1-0),IF($Z35&lt;250,0,IF($Z35&lt;=1000,(a_RRP2*$Z35^(-c_RRP))*(1-(0/750*($Z35-250))),(a_RRP2*$Z35^(-c_RRP))*(1-0)))),IF($Z35&lt;250,0,IF($Z35&lt;=1000,(a_RRP*$Z35^(-c_RRP))*(1-(0/750*($Z35-250))),(a_RRP*$Z35^(-c_RRP))*(1-0))))</f>
        <v>15.638870674502382</v>
      </c>
      <c r="AB35" s="52">
        <f>IF(OR(RoPax!$B$31="Phase 3*",RoPax!$B$31="Phase 2*",RoPax!$B$31="Phase 1*",RoPax!$B$31="Phase 0*"),IF($Z35&gt;=10000,a_RRP2*10000^(-c_RRP)*(1-0.05),IF($Z35&lt;250,0,IF($Z35&lt;=1000,(a_RRP2*$Z35^(-c_RRP))*(1-(0.05/750*($Z35-250))),(a_RRP2*$Z35^(-c_RRP))*(1-0.05)))),IF($Z35&lt;250,0,IF($Z35&lt;=1000,(a_RRP*$Z35^(-c_RRP))*(1-(0.05/750*($Z35-250))),(a_RRP*$Z35^(-c_RRP))*(1-0.05))))</f>
        <v>14.856927140777263</v>
      </c>
      <c r="AC35" s="52">
        <f>IF(OR(RoPax!$B$31="Phase 3*",RoPax!$B$31="Phase 2*",RoPax!$B$31="Phase 1*",RoPax!$B$31="Phase 0*"),IF($Z35&gt;=10000,a_RRP2*10000^(-c_RRP)*(1-0.2),IF($Z35&lt;250,0,IF($Z35&lt;=1000,(a_RRP2*$Z35^(-c_RRP))*(1-(0.2/750*($Z35-250))),(a_RRP2*$Z35^(-c_RRP))*(1-0.2)))),IF($Z35&lt;250,0,IF($Z35&lt;=1000,(a_RRP*$Z35^(-c_RRP))*(1-(0.2/750*($Z35-250))),(a_RRP*$Z35^(-c_RRP))*(1-0.2))))</f>
        <v>12.511096539601906</v>
      </c>
      <c r="AD35" s="52">
        <f>IF(OR(RoPax!$B$31="Phase 3*",RoPax!$B$31="Phase 2*",RoPax!$B$31="Phase 1*",RoPax!$B$31="Phase 0*"),IF($Z35&gt;=10000,a_RRP2*10000^(-c_RRP)*(1-0.3),IF($Z35&lt;250,0,IF($Z35&lt;=1000,(a_RRP2*$Z35^(-c_RRP))*(1-(0.3/750*($Z35-250))),(a_RRP2*$Z35^(-c_RRP))*(1-0.3)))),IF($Z35&lt;250,0,IF($Z35&lt;=1000,(a_RRP*$Z35^(-c_RRP))*(1-(0.3/750*($Z35-250))),(a_RRP*$Z35^(-c_RRP))*(1-0.3))))</f>
        <v>10.947209472151666</v>
      </c>
      <c r="AE35" s="54">
        <v>26000</v>
      </c>
      <c r="AF35" s="52">
        <f t="shared" si="21"/>
        <v>15.095820274430491</v>
      </c>
      <c r="AG35" s="52">
        <f t="shared" si="22"/>
        <v>14.341029260708966</v>
      </c>
      <c r="AH35" s="52">
        <f t="shared" si="23"/>
        <v>12.831447233265918</v>
      </c>
      <c r="AI35" s="52">
        <f t="shared" si="36"/>
        <v>10.567074192101343</v>
      </c>
      <c r="AJ35" s="54">
        <v>26000</v>
      </c>
      <c r="AK35" s="52">
        <f t="shared" si="25"/>
        <v>6.4989403846094218</v>
      </c>
      <c r="AL35" s="52">
        <f t="shared" si="26"/>
        <v>6.1739933653789505</v>
      </c>
      <c r="AM35" s="52">
        <f t="shared" si="27"/>
        <v>5.5240993269180088</v>
      </c>
      <c r="AN35" s="52">
        <f t="shared" si="37"/>
        <v>4.5492582692265948</v>
      </c>
      <c r="AO35" s="54">
        <v>26000</v>
      </c>
      <c r="AP35" s="52">
        <f t="shared" si="29"/>
        <v>10.864010482886702</v>
      </c>
      <c r="AQ35" s="52">
        <f t="shared" si="38"/>
        <v>9.7776094345980322</v>
      </c>
      <c r="AR35" s="52">
        <f t="shared" si="39"/>
        <v>8.691208386309361</v>
      </c>
      <c r="AS35" s="52">
        <f t="shared" si="40"/>
        <v>7.6048073380206906</v>
      </c>
      <c r="AT35" s="54">
        <v>26000</v>
      </c>
      <c r="AU35" s="52">
        <f t="shared" si="4"/>
        <v>18.205337635564245</v>
      </c>
      <c r="AV35" s="52">
        <f t="shared" si="41"/>
        <v>16.384803872007822</v>
      </c>
      <c r="AW35" s="52">
        <f t="shared" si="42"/>
        <v>14.564270108451396</v>
      </c>
      <c r="AX35" s="52">
        <f t="shared" si="43"/>
        <v>12.743736344894971</v>
      </c>
      <c r="AY35" s="54">
        <v>55000</v>
      </c>
      <c r="AZ35" s="52">
        <f t="shared" si="5"/>
        <v>15.826923108743635</v>
      </c>
      <c r="BA35" s="52">
        <f t="shared" si="6"/>
        <v>14.244230797869273</v>
      </c>
      <c r="BB35" s="52">
        <f t="shared" si="7"/>
        <v>13.452884642432089</v>
      </c>
      <c r="BC35" s="52">
        <f t="shared" si="8"/>
        <v>11.078846176120544</v>
      </c>
    </row>
    <row r="36" spans="1:55" x14ac:dyDescent="0.2">
      <c r="A36" s="54"/>
      <c r="B36" s="52"/>
      <c r="C36" s="52"/>
      <c r="D36" s="52"/>
      <c r="E36" s="52"/>
      <c r="F36" s="54"/>
      <c r="G36" s="52"/>
      <c r="H36" s="52"/>
      <c r="I36" s="52"/>
      <c r="J36" s="52"/>
      <c r="K36" s="54"/>
      <c r="L36" s="52"/>
      <c r="M36" s="52"/>
      <c r="N36" s="52"/>
      <c r="O36" s="52"/>
      <c r="P36" s="54">
        <v>50000</v>
      </c>
      <c r="Q36" s="52">
        <f t="shared" si="0"/>
        <v>6.2063331364282917</v>
      </c>
      <c r="R36" s="52">
        <f t="shared" si="1"/>
        <v>5.5856998227854628</v>
      </c>
      <c r="S36" s="52">
        <f t="shared" si="2"/>
        <v>4.965066509142634</v>
      </c>
      <c r="T36" s="52">
        <f t="shared" si="3"/>
        <v>4.3444331954998034</v>
      </c>
      <c r="U36" s="54">
        <v>27000</v>
      </c>
      <c r="V36" s="52">
        <f>IF(OR('RoRo Cargo'!$B$29="Phase 3*",'RoRo Cargo'!$B$29="Phase 2*",'RoRo Cargo'!$B$29="Phase 1*",'RoRo Cargo'!$B$29="Phase 0*"),IF($U36&gt;=17000,a_RRC2*17000^(-c_RRC)*(1-(0/1000*($U36-1000))),IF($U36&lt;1000,0,IF($U36&lt;=2000,(a_RRC2*$U36^(-c_RRC))*(1-(0/1000*($U36-1000))),(a_RRC2*$U36^(-c_RRC))*(1-0)))),IF($U36&lt;1000,0,IF($U36&lt;=2000,(a_RRC*$U36^(-c_RRC))*(1-(0/1000*($U36-1000))),(a_RRC*$U36^(-c_RRC))*(1-0))))</f>
        <v>8.7277748283689238</v>
      </c>
      <c r="W36" s="52">
        <f>IF(OR('RoRo Cargo'!$B$29="Phase 3*",'RoRo Cargo'!$B$29="Phase 2*",'RoRo Cargo'!$B$29="Phase 1*",'RoRo Cargo'!$B$29="Phase 0*"),IF($U36&gt;=17000,a_RRC2*17000^(-c_RRC)*(1-(0.05)),IF($U36&lt;1000,0,IF($U36&lt;=2000,(a_RRC2*$U36^(-c_RRC))*(1-(0.05/1000*($U36-1000))),(a_RRC2*$U36^(-c_RRC))*(1-0.05)))),IF($U36&lt;1000,0,IF($U36&lt;=2000,(a_RRC*$U36^(-c_RRC))*(1-(0.05/1000*($U36-1000))),(a_RRC*$U36^(-c_RRC))*(1-0.05))))</f>
        <v>8.2913860869504781</v>
      </c>
      <c r="X36" s="52">
        <f>IF(OR('RoRo Cargo'!$B$29="Phase 3*",'RoRo Cargo'!$B$29="Phase 2*",'RoRo Cargo'!$B$29="Phase 1*",'RoRo Cargo'!$B$29="Phase 0*"),IF($U36&gt;=17000,a_RRC2*17000^(-c_RRC)*(1-(0.2)),IF($U36&lt;1000,0,IF($U36&lt;=2000,(a_RRC2*$U36^(-c_RRC))*(1-(0.2/1000*($U36-1000))),(a_RRC2*$U36^(-c_RRC))*(1-0.2)))),IF($U36&lt;1000,0,IF($U36&lt;=2000,(a_RRC*$U36^(-c_RRC))*(1-(0.2/1000*($U36-1000))),(a_RRC*$U36^(-c_RRC))*(1-0.2))))</f>
        <v>6.9822198626951391</v>
      </c>
      <c r="Y36" s="52">
        <f>IF(OR('RoRo Cargo'!$B$29="Phase 3*",'RoRo Cargo'!$B$29="Phase 2*",'RoRo Cargo'!$B$29="Phase 1*",'RoRo Cargo'!$B$29="Phase 0*"),IF($U36&gt;=17000,a_RRC2*17000^(-c_RRC)*(1-(0.3)),IF($U36&lt;1000,0,IF($U36&lt;=2000,(a_RRC2*$U36^(-c_RRC))*(1-(0.3/1000*($U36-1000))),(a_RRC2*$U36^(-c_RRC))*(1-0.3)))),IF($U36&lt;1000,0,IF($U36&lt;=2000,(a_RRC*$U36^(-c_RRC))*(1-(0.3/1000*($U36-1000))),(a_RRC*$U36^(-c_RRC))*(1-0.3))))</f>
        <v>6.1094423798582467</v>
      </c>
      <c r="Z36" s="54">
        <v>27000</v>
      </c>
      <c r="AA36" s="52">
        <f>IF(OR(RoPax!$B$31="Phase 3*",RoPax!$B$31="Phase 2*",RoPax!$B$31="Phase 1*",RoPax!$B$31="Phase 0*"),IF($Z36&gt;=10000,a_RRP2*10000^(-c_RRP)*(1-0),IF($Z36&lt;250,0,IF($Z36&lt;=1000,(a_RRP2*$Z36^(-c_RRP))*(1-(0/750*($Z36-250))),(a_RRP2*$Z36^(-c_RRP))*(1-0)))),IF($Z36&lt;250,0,IF($Z36&lt;=1000,(a_RRP*$Z36^(-c_RRP))*(1-(0/750*($Z36-250))),(a_RRP*$Z36^(-c_RRP))*(1-0))))</f>
        <v>15.415607342891741</v>
      </c>
      <c r="AB36" s="52">
        <f>IF(OR(RoPax!$B$31="Phase 3*",RoPax!$B$31="Phase 2*",RoPax!$B$31="Phase 1*",RoPax!$B$31="Phase 0*"),IF($Z36&gt;=10000,a_RRP2*10000^(-c_RRP)*(1-0.05),IF($Z36&lt;250,0,IF($Z36&lt;=1000,(a_RRP2*$Z36^(-c_RRP))*(1-(0.05/750*($Z36-250))),(a_RRP2*$Z36^(-c_RRP))*(1-0.05)))),IF($Z36&lt;250,0,IF($Z36&lt;=1000,(a_RRP*$Z36^(-c_RRP))*(1-(0.05/750*($Z36-250))),(a_RRP*$Z36^(-c_RRP))*(1-0.05))))</f>
        <v>14.644826975747154</v>
      </c>
      <c r="AC36" s="52">
        <f>IF(OR(RoPax!$B$31="Phase 3*",RoPax!$B$31="Phase 2*",RoPax!$B$31="Phase 1*",RoPax!$B$31="Phase 0*"),IF($Z36&gt;=10000,a_RRP2*10000^(-c_RRP)*(1-0.2),IF($Z36&lt;250,0,IF($Z36&lt;=1000,(a_RRP2*$Z36^(-c_RRP))*(1-(0.2/750*($Z36-250))),(a_RRP2*$Z36^(-c_RRP))*(1-0.2)))),IF($Z36&lt;250,0,IF($Z36&lt;=1000,(a_RRP*$Z36^(-c_RRP))*(1-(0.2/750*($Z36-250))),(a_RRP*$Z36^(-c_RRP))*(1-0.2))))</f>
        <v>12.332485874313393</v>
      </c>
      <c r="AD36" s="52">
        <f>IF(OR(RoPax!$B$31="Phase 3*",RoPax!$B$31="Phase 2*",RoPax!$B$31="Phase 1*",RoPax!$B$31="Phase 0*"),IF($Z36&gt;=10000,a_RRP2*10000^(-c_RRP)*(1-0.3),IF($Z36&lt;250,0,IF($Z36&lt;=1000,(a_RRP2*$Z36^(-c_RRP))*(1-(0.3/750*($Z36-250))),(a_RRP2*$Z36^(-c_RRP))*(1-0.3)))),IF($Z36&lt;250,0,IF($Z36&lt;=1000,(a_RRP*$Z36^(-c_RRP))*(1-(0.3/750*($Z36-250))),(a_RRP*$Z36^(-c_RRP))*(1-0.3))))</f>
        <v>10.790925140024218</v>
      </c>
      <c r="AE36" s="54">
        <v>27000</v>
      </c>
      <c r="AF36" s="52">
        <f t="shared" si="21"/>
        <v>14.829852469761899</v>
      </c>
      <c r="AG36" s="52">
        <f t="shared" si="22"/>
        <v>14.088359846273804</v>
      </c>
      <c r="AH36" s="52">
        <f t="shared" si="23"/>
        <v>12.605374599297614</v>
      </c>
      <c r="AI36" s="52">
        <f t="shared" si="36"/>
        <v>10.38089672883333</v>
      </c>
      <c r="AJ36" s="54">
        <v>27000</v>
      </c>
      <c r="AK36" s="52">
        <f t="shared" si="25"/>
        <v>6.3844379014489414</v>
      </c>
      <c r="AL36" s="52">
        <f t="shared" si="26"/>
        <v>6.0652160063764944</v>
      </c>
      <c r="AM36" s="52">
        <f t="shared" si="27"/>
        <v>5.4267722162316003</v>
      </c>
      <c r="AN36" s="52">
        <f t="shared" si="37"/>
        <v>4.4691065310142584</v>
      </c>
      <c r="AO36" s="54">
        <v>27000</v>
      </c>
      <c r="AP36" s="52">
        <f t="shared" si="29"/>
        <v>10.678644929002552</v>
      </c>
      <c r="AQ36" s="52">
        <f t="shared" si="38"/>
        <v>9.6107804361022975</v>
      </c>
      <c r="AR36" s="52">
        <f t="shared" si="39"/>
        <v>8.5429159432020416</v>
      </c>
      <c r="AS36" s="52">
        <f t="shared" si="40"/>
        <v>7.4750514503017857</v>
      </c>
      <c r="AT36" s="54">
        <v>27000</v>
      </c>
      <c r="AU36" s="52">
        <f t="shared" si="4"/>
        <v>17.882559572082798</v>
      </c>
      <c r="AV36" s="52">
        <f t="shared" si="41"/>
        <v>16.094303614874519</v>
      </c>
      <c r="AW36" s="52">
        <f t="shared" si="42"/>
        <v>14.306047657666239</v>
      </c>
      <c r="AX36" s="52">
        <f t="shared" si="43"/>
        <v>12.517791700457957</v>
      </c>
      <c r="AY36" s="54">
        <v>60000</v>
      </c>
      <c r="AZ36" s="52">
        <f t="shared" si="5"/>
        <v>15.494447099935662</v>
      </c>
      <c r="BA36" s="52">
        <f t="shared" si="6"/>
        <v>13.945002389942097</v>
      </c>
      <c r="BB36" s="52">
        <f t="shared" si="7"/>
        <v>13.170280034945312</v>
      </c>
      <c r="BC36" s="52">
        <f t="shared" si="8"/>
        <v>10.846112969954962</v>
      </c>
    </row>
    <row r="37" spans="1:55" x14ac:dyDescent="0.2">
      <c r="A37" s="54"/>
      <c r="B37" s="52"/>
      <c r="C37" s="52"/>
      <c r="D37" s="52"/>
      <c r="E37" s="52"/>
      <c r="F37" s="54"/>
      <c r="G37" s="52"/>
      <c r="H37" s="52"/>
      <c r="I37" s="52"/>
      <c r="J37" s="52"/>
      <c r="K37" s="54"/>
      <c r="L37" s="52"/>
      <c r="M37" s="52"/>
      <c r="N37" s="52"/>
      <c r="O37" s="52"/>
      <c r="P37" s="54">
        <v>75000</v>
      </c>
      <c r="Q37" s="52">
        <f t="shared" si="0"/>
        <v>5.092165955401061</v>
      </c>
      <c r="R37" s="52">
        <f t="shared" si="1"/>
        <v>4.5829493598609554</v>
      </c>
      <c r="S37" s="52">
        <f t="shared" si="2"/>
        <v>4.073732764320849</v>
      </c>
      <c r="T37" s="52">
        <f t="shared" si="3"/>
        <v>3.5645161687807425</v>
      </c>
      <c r="U37" s="54">
        <v>30000</v>
      </c>
      <c r="V37" s="52">
        <f>IF(OR('RoRo Cargo'!$B$29="Phase 3*",'RoRo Cargo'!$B$29="Phase 2*",'RoRo Cargo'!$B$29="Phase 1*",'RoRo Cargo'!$B$29="Phase 0*"),IF($U37&gt;=17000,a_RRC2*17000^(-c_RRC)*(1-(0/1000*($U37-1000))),IF($U37&lt;1000,0,IF($U37&lt;=2000,(a_RRC2*$U37^(-c_RRC))*(1-(0/1000*($U37-1000))),(a_RRC2*$U37^(-c_RRC))*(1-0)))),IF($U37&lt;1000,0,IF($U37&lt;=2000,(a_RRC*$U37^(-c_RRC))*(1-(0/1000*($U37-1000))),(a_RRC*$U37^(-c_RRC))*(1-0))))</f>
        <v>8.2816391405065986</v>
      </c>
      <c r="W37" s="52">
        <f>IF(OR('RoRo Cargo'!$B$29="Phase 3*",'RoRo Cargo'!$B$29="Phase 2*",'RoRo Cargo'!$B$29="Phase 1*",'RoRo Cargo'!$B$29="Phase 0*"),IF($U37&gt;=17000,a_RRC2*17000^(-c_RRC)*(1-(0.05)),IF($U37&lt;1000,0,IF($U37&lt;=2000,(a_RRC2*$U37^(-c_RRC))*(1-(0.05/1000*($U37-1000))),(a_RRC2*$U37^(-c_RRC))*(1-0.05)))),IF($U37&lt;1000,0,IF($U37&lt;=2000,(a_RRC*$U37^(-c_RRC))*(1-(0.05/1000*($U37-1000))),(a_RRC*$U37^(-c_RRC))*(1-0.05))))</f>
        <v>7.8675571834812681</v>
      </c>
      <c r="X37" s="52">
        <f>IF(OR('RoRo Cargo'!$B$29="Phase 3*",'RoRo Cargo'!$B$29="Phase 2*",'RoRo Cargo'!$B$29="Phase 1*",'RoRo Cargo'!$B$29="Phase 0*"),IF($U37&gt;=17000,a_RRC2*17000^(-c_RRC)*(1-(0.2)),IF($U37&lt;1000,0,IF($U37&lt;=2000,(a_RRC2*$U37^(-c_RRC))*(1-(0.2/1000*($U37-1000))),(a_RRC2*$U37^(-c_RRC))*(1-0.2)))),IF($U37&lt;1000,0,IF($U37&lt;=2000,(a_RRC*$U37^(-c_RRC))*(1-(0.2/1000*($U37-1000))),(a_RRC*$U37^(-c_RRC))*(1-0.2))))</f>
        <v>6.6253113124052794</v>
      </c>
      <c r="Y37" s="52">
        <f>IF(OR('RoRo Cargo'!$B$29="Phase 3*",'RoRo Cargo'!$B$29="Phase 2*",'RoRo Cargo'!$B$29="Phase 1*",'RoRo Cargo'!$B$29="Phase 0*"),IF($U37&gt;=17000,a_RRC2*17000^(-c_RRC)*(1-(0.3)),IF($U37&lt;1000,0,IF($U37&lt;=2000,(a_RRC2*$U37^(-c_RRC))*(1-(0.3/1000*($U37-1000))),(a_RRC2*$U37^(-c_RRC))*(1-0.3)))),IF($U37&lt;1000,0,IF($U37&lt;=2000,(a_RRC*$U37^(-c_RRC))*(1-(0.3/1000*($U37-1000))),(a_RRC*$U37^(-c_RRC))*(1-0.3))))</f>
        <v>5.7971473983546185</v>
      </c>
      <c r="Z37" s="54">
        <v>30000</v>
      </c>
      <c r="AA37" s="52">
        <f>IF(OR(RoPax!$B$31="Phase 3*",RoPax!$B$31="Phase 2*",RoPax!$B$31="Phase 1*",RoPax!$B$31="Phase 0*"),IF($Z37&gt;=10000,a_RRP2*10000^(-c_RRP)*(1-0),IF($Z37&lt;250,0,IF($Z37&lt;=1000,(a_RRP2*$Z37^(-c_RRP))*(1-(0/750*($Z37-250))),(a_RRP2*$Z37^(-c_RRP))*(1-0)))),IF($Z37&lt;250,0,IF($Z37&lt;=1000,(a_RRP*$Z37^(-c_RRP))*(1-(0/750*($Z37-250))),(a_RRP*$Z37^(-c_RRP))*(1-0))))</f>
        <v>14.809044419883934</v>
      </c>
      <c r="AB37" s="52">
        <f>IF(OR(RoPax!$B$31="Phase 3*",RoPax!$B$31="Phase 2*",RoPax!$B$31="Phase 1*",RoPax!$B$31="Phase 0*"),IF($Z37&gt;=10000,a_RRP2*10000^(-c_RRP)*(1-0.05),IF($Z37&lt;250,0,IF($Z37&lt;=1000,(a_RRP2*$Z37^(-c_RRP))*(1-(0.05/750*($Z37-250))),(a_RRP2*$Z37^(-c_RRP))*(1-0.05)))),IF($Z37&lt;250,0,IF($Z37&lt;=1000,(a_RRP*$Z37^(-c_RRP))*(1-(0.05/750*($Z37-250))),(a_RRP*$Z37^(-c_RRP))*(1-0.05))))</f>
        <v>14.068592198889737</v>
      </c>
      <c r="AC37" s="52">
        <f>IF(OR(RoPax!$B$31="Phase 3*",RoPax!$B$31="Phase 2*",RoPax!$B$31="Phase 1*",RoPax!$B$31="Phase 0*"),IF($Z37&gt;=10000,a_RRP2*10000^(-c_RRP)*(1-0.2),IF($Z37&lt;250,0,IF($Z37&lt;=1000,(a_RRP2*$Z37^(-c_RRP))*(1-(0.2/750*($Z37-250))),(a_RRP2*$Z37^(-c_RRP))*(1-0.2)))),IF($Z37&lt;250,0,IF($Z37&lt;=1000,(a_RRP*$Z37^(-c_RRP))*(1-(0.2/750*($Z37-250))),(a_RRP*$Z37^(-c_RRP))*(1-0.2))))</f>
        <v>11.847235535907148</v>
      </c>
      <c r="AD37" s="52">
        <f>IF(OR(RoPax!$B$31="Phase 3*",RoPax!$B$31="Phase 2*",RoPax!$B$31="Phase 1*",RoPax!$B$31="Phase 0*"),IF($Z37&gt;=10000,a_RRP2*10000^(-c_RRP)*(1-0.3),IF($Z37&lt;250,0,IF($Z37&lt;=1000,(a_RRP2*$Z37^(-c_RRP))*(1-(0.3/750*($Z37-250))),(a_RRP2*$Z37^(-c_RRP))*(1-0.3)))),IF($Z37&lt;250,0,IF($Z37&lt;=1000,(a_RRP*$Z37^(-c_RRP))*(1-(0.3/750*($Z37-250))),(a_RRP*$Z37^(-c_RRP))*(1-0.3))))</f>
        <v>10.366331093918753</v>
      </c>
      <c r="AE37" s="54">
        <v>30000</v>
      </c>
      <c r="AF37" s="52">
        <f t="shared" si="21"/>
        <v>14.111885776054711</v>
      </c>
      <c r="AG37" s="52">
        <f t="shared" si="22"/>
        <v>13.406291487251975</v>
      </c>
      <c r="AH37" s="52">
        <f t="shared" si="23"/>
        <v>11.995102909646505</v>
      </c>
      <c r="AI37" s="52">
        <f t="shared" si="36"/>
        <v>9.8783200432382969</v>
      </c>
      <c r="AJ37" s="54">
        <v>30000</v>
      </c>
      <c r="AK37" s="52">
        <f t="shared" si="25"/>
        <v>6.0753442148712384</v>
      </c>
      <c r="AL37" s="52">
        <f t="shared" si="26"/>
        <v>5.7715770041276766</v>
      </c>
      <c r="AM37" s="52">
        <f t="shared" si="27"/>
        <v>5.1640425826405529</v>
      </c>
      <c r="AN37" s="52">
        <f t="shared" si="37"/>
        <v>4.2527409504098665</v>
      </c>
      <c r="AO37" s="54">
        <v>30000</v>
      </c>
      <c r="AP37" s="52">
        <f t="shared" si="29"/>
        <v>10.177725430461214</v>
      </c>
      <c r="AQ37" s="52">
        <f t="shared" si="38"/>
        <v>9.1599528874150931</v>
      </c>
      <c r="AR37" s="52">
        <f t="shared" si="39"/>
        <v>8.1421803443689722</v>
      </c>
      <c r="AS37" s="52">
        <f t="shared" si="40"/>
        <v>7.1244078013228496</v>
      </c>
      <c r="AT37" s="54">
        <v>30000</v>
      </c>
      <c r="AU37" s="52">
        <f t="shared" si="4"/>
        <v>17.011422460702743</v>
      </c>
      <c r="AV37" s="52">
        <f t="shared" si="41"/>
        <v>15.310280214632469</v>
      </c>
      <c r="AW37" s="52">
        <f t="shared" si="42"/>
        <v>13.609137968562194</v>
      </c>
      <c r="AX37" s="52">
        <f t="shared" si="43"/>
        <v>11.90799572249192</v>
      </c>
      <c r="AY37" s="54"/>
      <c r="AZ37" s="52">
        <f t="shared" si="5"/>
        <v>0</v>
      </c>
      <c r="BA37" s="52">
        <f t="shared" si="6"/>
        <v>0</v>
      </c>
      <c r="BB37" s="52">
        <f t="shared" si="7"/>
        <v>0</v>
      </c>
      <c r="BC37" s="52">
        <f t="shared" si="8"/>
        <v>0</v>
      </c>
    </row>
    <row r="38" spans="1:55" x14ac:dyDescent="0.2">
      <c r="A38" s="54"/>
      <c r="B38" s="52"/>
      <c r="C38" s="52"/>
      <c r="D38" s="52"/>
      <c r="E38" s="52"/>
      <c r="F38" s="54"/>
      <c r="G38" s="52"/>
      <c r="H38" s="52"/>
      <c r="I38" s="52"/>
      <c r="J38" s="52"/>
      <c r="K38" s="54"/>
      <c r="L38" s="52"/>
      <c r="M38" s="52"/>
      <c r="N38" s="52"/>
      <c r="O38" s="52"/>
      <c r="P38" s="54">
        <v>100000</v>
      </c>
      <c r="Q38" s="52">
        <f t="shared" si="0"/>
        <v>4.4251953315379957</v>
      </c>
      <c r="R38" s="52">
        <f t="shared" si="1"/>
        <v>3.9826757983841961</v>
      </c>
      <c r="S38" s="52">
        <f t="shared" si="2"/>
        <v>3.5401562652303968</v>
      </c>
      <c r="T38" s="52">
        <f t="shared" si="3"/>
        <v>3.0976367320765967</v>
      </c>
      <c r="U38" s="54">
        <v>35000</v>
      </c>
      <c r="V38" s="52">
        <f>IF(OR('RoRo Cargo'!$B$29="Phase 3*",'RoRo Cargo'!$B$29="Phase 2*",'RoRo Cargo'!$B$29="Phase 1*",'RoRo Cargo'!$B$29="Phase 0*"),IF($U38&gt;=17000,a_RRC2*17000^(-c_RRC)*(1-(0/1000*($U38-1000))),IF($U38&lt;1000,0,IF($U38&lt;=2000,(a_RRC2*$U38^(-c_RRC))*(1-(0/1000*($U38-1000))),(a_RRC2*$U38^(-c_RRC))*(1-0)))),IF($U38&lt;1000,0,IF($U38&lt;=2000,(a_RRC*$U38^(-c_RRC))*(1-(0/1000*($U38-1000))),(a_RRC*$U38^(-c_RRC))*(1-0))))</f>
        <v>7.669672181242996</v>
      </c>
      <c r="W38" s="52">
        <f>IF(OR('RoRo Cargo'!$B$29="Phase 3*",'RoRo Cargo'!$B$29="Phase 2*",'RoRo Cargo'!$B$29="Phase 1*",'RoRo Cargo'!$B$29="Phase 0*"),IF($U38&gt;=17000,a_RRC2*17000^(-c_RRC)*(1-(0.05)),IF($U38&lt;1000,0,IF($U38&lt;=2000,(a_RRC2*$U38^(-c_RRC))*(1-(0.05/1000*($U38-1000))),(a_RRC2*$U38^(-c_RRC))*(1-0.05)))),IF($U38&lt;1000,0,IF($U38&lt;=2000,(a_RRC*$U38^(-c_RRC))*(1-(0.05/1000*($U38-1000))),(a_RRC*$U38^(-c_RRC))*(1-0.05))))</f>
        <v>7.2861885721808459</v>
      </c>
      <c r="X38" s="52">
        <f>IF(OR('RoRo Cargo'!$B$29="Phase 3*",'RoRo Cargo'!$B$29="Phase 2*",'RoRo Cargo'!$B$29="Phase 1*",'RoRo Cargo'!$B$29="Phase 0*"),IF($U38&gt;=17000,a_RRC2*17000^(-c_RRC)*(1-(0.2)),IF($U38&lt;1000,0,IF($U38&lt;=2000,(a_RRC2*$U38^(-c_RRC))*(1-(0.2/1000*($U38-1000))),(a_RRC2*$U38^(-c_RRC))*(1-0.2)))),IF($U38&lt;1000,0,IF($U38&lt;=2000,(a_RRC*$U38^(-c_RRC))*(1-(0.2/1000*($U38-1000))),(a_RRC*$U38^(-c_RRC))*(1-0.2))))</f>
        <v>6.1357377449943975</v>
      </c>
      <c r="Y38" s="52">
        <f>IF(OR('RoRo Cargo'!$B$29="Phase 3*",'RoRo Cargo'!$B$29="Phase 2*",'RoRo Cargo'!$B$29="Phase 1*",'RoRo Cargo'!$B$29="Phase 0*"),IF($U38&gt;=17000,a_RRC2*17000^(-c_RRC)*(1-(0.3)),IF($U38&lt;1000,0,IF($U38&lt;=2000,(a_RRC2*$U38^(-c_RRC))*(1-(0.3/1000*($U38-1000))),(a_RRC2*$U38^(-c_RRC))*(1-0.3)))),IF($U38&lt;1000,0,IF($U38&lt;=2000,(a_RRC*$U38^(-c_RRC))*(1-(0.3/1000*($U38-1000))),(a_RRC*$U38^(-c_RRC))*(1-0.3))))</f>
        <v>5.3687705268700965</v>
      </c>
      <c r="Z38" s="54">
        <v>35000</v>
      </c>
      <c r="AA38" s="52">
        <f>IF(OR(RoPax!$B$31="Phase 3*",RoPax!$B$31="Phase 2*",RoPax!$B$31="Phase 1*",RoPax!$B$31="Phase 0*"),IF($Z38&gt;=10000,a_RRP2*10000^(-c_RRP)*(1-0),IF($Z38&lt;250,0,IF($Z38&lt;=1000,(a_RRP2*$Z38^(-c_RRP))*(1-(0/750*($Z38-250))),(a_RRP2*$Z38^(-c_RRP))*(1-0)))),IF($Z38&lt;250,0,IF($Z38&lt;=1000,(a_RRP*$Z38^(-c_RRP))*(1-(0/750*($Z38-250))),(a_RRP*$Z38^(-c_RRP))*(1-0))))</f>
        <v>13.964336610652934</v>
      </c>
      <c r="AB38" s="52">
        <f>IF(OR(RoPax!$B$31="Phase 3*",RoPax!$B$31="Phase 2*",RoPax!$B$31="Phase 1*",RoPax!$B$31="Phase 0*"),IF($Z38&gt;=10000,a_RRP2*10000^(-c_RRP)*(1-0.05),IF($Z38&lt;250,0,IF($Z38&lt;=1000,(a_RRP2*$Z38^(-c_RRP))*(1-(0.05/750*($Z38-250))),(a_RRP2*$Z38^(-c_RRP))*(1-0.05)))),IF($Z38&lt;250,0,IF($Z38&lt;=1000,(a_RRP*$Z38^(-c_RRP))*(1-(0.05/750*($Z38-250))),(a_RRP*$Z38^(-c_RRP))*(1-0.05))))</f>
        <v>13.266119780120286</v>
      </c>
      <c r="AC38" s="52">
        <f>IF(OR(RoPax!$B$31="Phase 3*",RoPax!$B$31="Phase 2*",RoPax!$B$31="Phase 1*",RoPax!$B$31="Phase 0*"),IF($Z38&gt;=10000,a_RRP2*10000^(-c_RRP)*(1-0.2),IF($Z38&lt;250,0,IF($Z38&lt;=1000,(a_RRP2*$Z38^(-c_RRP))*(1-(0.2/750*($Z38-250))),(a_RRP2*$Z38^(-c_RRP))*(1-0.2)))),IF($Z38&lt;250,0,IF($Z38&lt;=1000,(a_RRP*$Z38^(-c_RRP))*(1-(0.2/750*($Z38-250))),(a_RRP*$Z38^(-c_RRP))*(1-0.2))))</f>
        <v>11.171469288522347</v>
      </c>
      <c r="AD38" s="52">
        <f>IF(OR(RoPax!$B$31="Phase 3*",RoPax!$B$31="Phase 2*",RoPax!$B$31="Phase 1*",RoPax!$B$31="Phase 0*"),IF($Z38&gt;=10000,a_RRP2*10000^(-c_RRP)*(1-0.3),IF($Z38&lt;250,0,IF($Z38&lt;=1000,(a_RRP2*$Z38^(-c_RRP))*(1-(0.3/750*($Z38-250))),(a_RRP2*$Z38^(-c_RRP))*(1-0.3)))),IF($Z38&lt;250,0,IF($Z38&lt;=1000,(a_RRP*$Z38^(-c_RRP))*(1-(0.3/750*($Z38-250))),(a_RRP*$Z38^(-c_RRP))*(1-0.3))))</f>
        <v>9.7750356274570525</v>
      </c>
      <c r="AE38" s="54">
        <v>35000</v>
      </c>
      <c r="AF38" s="52">
        <f t="shared" si="21"/>
        <v>13.123603921475068</v>
      </c>
      <c r="AG38" s="52">
        <f t="shared" si="22"/>
        <v>12.467423725401314</v>
      </c>
      <c r="AH38" s="52">
        <f t="shared" si="23"/>
        <v>11.155063333253807</v>
      </c>
      <c r="AI38" s="52">
        <f t="shared" si="36"/>
        <v>9.1865227450325477</v>
      </c>
      <c r="AJ38" s="54">
        <v>35000</v>
      </c>
      <c r="AK38" s="52">
        <f t="shared" si="25"/>
        <v>5.6498764536404469</v>
      </c>
      <c r="AL38" s="52">
        <f t="shared" si="26"/>
        <v>5.3673826309584243</v>
      </c>
      <c r="AM38" s="52">
        <f t="shared" si="27"/>
        <v>4.8023949855943799</v>
      </c>
      <c r="AN38" s="52">
        <f t="shared" si="37"/>
        <v>3.9549135175483126</v>
      </c>
      <c r="AO38" s="54">
        <v>35000</v>
      </c>
      <c r="AP38" s="52">
        <f t="shared" si="29"/>
        <v>9.4868709835912171</v>
      </c>
      <c r="AQ38" s="52">
        <f t="shared" si="38"/>
        <v>8.5381838852320957</v>
      </c>
      <c r="AR38" s="52">
        <f t="shared" si="39"/>
        <v>7.5894967868729744</v>
      </c>
      <c r="AS38" s="52">
        <f t="shared" si="40"/>
        <v>6.6408096885138512</v>
      </c>
      <c r="AT38" s="54">
        <v>35000</v>
      </c>
      <c r="AU38" s="52">
        <f t="shared" si="4"/>
        <v>15.8127662713545</v>
      </c>
      <c r="AV38" s="52">
        <f t="shared" si="41"/>
        <v>14.231489644219049</v>
      </c>
      <c r="AW38" s="52">
        <f t="shared" si="42"/>
        <v>12.650213017083601</v>
      </c>
      <c r="AX38" s="52">
        <f t="shared" si="43"/>
        <v>11.068936389948149</v>
      </c>
      <c r="AY38" s="54"/>
      <c r="AZ38" s="52">
        <f t="shared" si="5"/>
        <v>0</v>
      </c>
      <c r="BA38" s="52">
        <f t="shared" si="6"/>
        <v>0</v>
      </c>
      <c r="BB38" s="52">
        <f t="shared" si="7"/>
        <v>0</v>
      </c>
      <c r="BC38" s="52">
        <f t="shared" si="8"/>
        <v>0</v>
      </c>
    </row>
    <row r="39" spans="1:55" x14ac:dyDescent="0.2">
      <c r="A39" s="54"/>
      <c r="B39" s="52"/>
      <c r="C39" s="52"/>
      <c r="D39" s="52"/>
      <c r="E39" s="52"/>
      <c r="F39" s="54"/>
      <c r="G39" s="52"/>
      <c r="H39" s="52"/>
      <c r="I39" s="52"/>
      <c r="J39" s="52"/>
      <c r="K39" s="54"/>
      <c r="L39" s="52"/>
      <c r="M39" s="52"/>
      <c r="N39" s="52"/>
      <c r="O39" s="52"/>
      <c r="P39" s="54">
        <v>120000</v>
      </c>
      <c r="Q39" s="52">
        <f t="shared" si="0"/>
        <v>4.0484799937656435</v>
      </c>
      <c r="R39" s="52">
        <f t="shared" si="1"/>
        <v>3.6436319943890791</v>
      </c>
      <c r="S39" s="52">
        <f t="shared" si="2"/>
        <v>3.2387839950125148</v>
      </c>
      <c r="T39" s="52">
        <f t="shared" si="3"/>
        <v>2.8339359956359504</v>
      </c>
      <c r="U39" s="54">
        <v>40000</v>
      </c>
      <c r="V39" s="52">
        <f>IF(OR('RoRo Cargo'!$B$29="Phase 3*",'RoRo Cargo'!$B$29="Phase 2*",'RoRo Cargo'!$B$29="Phase 1*",'RoRo Cargo'!$B$29="Phase 0*"),IF($U39&gt;=17000,a_RRC2*17000^(-c_RRC)*(1-(0/1000*($U39-1000))),IF($U39&lt;1000,0,IF($U39&lt;=2000,(a_RRC2*$U39^(-c_RRC))*(1-(0/1000*($U39-1000))),(a_RRC2*$U39^(-c_RRC))*(1-0)))),IF($U39&lt;1000,0,IF($U39&lt;=2000,(a_RRC*$U39^(-c_RRC))*(1-(0/1000*($U39-1000))),(a_RRC*$U39^(-c_RRC))*(1-0))))</f>
        <v>7.1762376428921986</v>
      </c>
      <c r="W39" s="52">
        <f>IF(OR('RoRo Cargo'!$B$29="Phase 3*",'RoRo Cargo'!$B$29="Phase 2*",'RoRo Cargo'!$B$29="Phase 1*",'RoRo Cargo'!$B$29="Phase 0*"),IF($U39&gt;=17000,a_RRC2*17000^(-c_RRC)*(1-(0.05)),IF($U39&lt;1000,0,IF($U39&lt;=2000,(a_RRC2*$U39^(-c_RRC))*(1-(0.05/1000*($U39-1000))),(a_RRC2*$U39^(-c_RRC))*(1-0.05)))),IF($U39&lt;1000,0,IF($U39&lt;=2000,(a_RRC*$U39^(-c_RRC))*(1-(0.05/1000*($U39-1000))),(a_RRC*$U39^(-c_RRC))*(1-0.05))))</f>
        <v>6.8174257607475885</v>
      </c>
      <c r="X39" s="52">
        <f>IF(OR('RoRo Cargo'!$B$29="Phase 3*",'RoRo Cargo'!$B$29="Phase 2*",'RoRo Cargo'!$B$29="Phase 1*",'RoRo Cargo'!$B$29="Phase 0*"),IF($U39&gt;=17000,a_RRC2*17000^(-c_RRC)*(1-(0.2)),IF($U39&lt;1000,0,IF($U39&lt;=2000,(a_RRC2*$U39^(-c_RRC))*(1-(0.2/1000*($U39-1000))),(a_RRC2*$U39^(-c_RRC))*(1-0.2)))),IF($U39&lt;1000,0,IF($U39&lt;=2000,(a_RRC*$U39^(-c_RRC))*(1-(0.2/1000*($U39-1000))),(a_RRC*$U39^(-c_RRC))*(1-0.2))))</f>
        <v>5.7409901143137594</v>
      </c>
      <c r="Y39" s="52">
        <f>IF(OR('RoRo Cargo'!$B$29="Phase 3*",'RoRo Cargo'!$B$29="Phase 2*",'RoRo Cargo'!$B$29="Phase 1*",'RoRo Cargo'!$B$29="Phase 0*"),IF($U39&gt;=17000,a_RRC2*17000^(-c_RRC)*(1-(0.3)),IF($U39&lt;1000,0,IF($U39&lt;=2000,(a_RRC2*$U39^(-c_RRC))*(1-(0.3/1000*($U39-1000))),(a_RRC2*$U39^(-c_RRC))*(1-0.3)))),IF($U39&lt;1000,0,IF($U39&lt;=2000,(a_RRC*$U39^(-c_RRC))*(1-(0.3/1000*($U39-1000))),(a_RRC*$U39^(-c_RRC))*(1-0.3))))</f>
        <v>5.0233663500245385</v>
      </c>
      <c r="Z39" s="54">
        <v>40000</v>
      </c>
      <c r="AA39" s="52">
        <f>IF(OR(RoPax!$B$31="Phase 3*",RoPax!$B$31="Phase 2*",RoPax!$B$31="Phase 1*",RoPax!$B$31="Phase 0*"),IF($Z39&gt;=10000,a_RRP2*10000^(-c_RRP)*(1-0),IF($Z39&lt;250,0,IF($Z39&lt;=1000,(a_RRP2*$Z39^(-c_RRP))*(1-(0/750*($Z39-250))),(a_RRP2*$Z39^(-c_RRP))*(1-0)))),IF($Z39&lt;250,0,IF($Z39&lt;=1000,(a_RRP*$Z39^(-c_RRP))*(1-(0/750*($Z39-250))),(a_RRP*$Z39^(-c_RRP))*(1-0))))</f>
        <v>13.271663971522152</v>
      </c>
      <c r="AB39" s="52">
        <f>IF(OR(RoPax!$B$31="Phase 3*",RoPax!$B$31="Phase 2*",RoPax!$B$31="Phase 1*",RoPax!$B$31="Phase 0*"),IF($Z39&gt;=10000,a_RRP2*10000^(-c_RRP)*(1-0.05),IF($Z39&lt;250,0,IF($Z39&lt;=1000,(a_RRP2*$Z39^(-c_RRP))*(1-(0.05/750*($Z39-250))),(a_RRP2*$Z39^(-c_RRP))*(1-0.05)))),IF($Z39&lt;250,0,IF($Z39&lt;=1000,(a_RRP*$Z39^(-c_RRP))*(1-(0.05/750*($Z39-250))),(a_RRP*$Z39^(-c_RRP))*(1-0.05))))</f>
        <v>12.608080772946044</v>
      </c>
      <c r="AC39" s="52">
        <f>IF(OR(RoPax!$B$31="Phase 3*",RoPax!$B$31="Phase 2*",RoPax!$B$31="Phase 1*",RoPax!$B$31="Phase 0*"),IF($Z39&gt;=10000,a_RRP2*10000^(-c_RRP)*(1-0.2),IF($Z39&lt;250,0,IF($Z39&lt;=1000,(a_RRP2*$Z39^(-c_RRP))*(1-(0.2/750*($Z39-250))),(a_RRP2*$Z39^(-c_RRP))*(1-0.2)))),IF($Z39&lt;250,0,IF($Z39&lt;=1000,(a_RRP*$Z39^(-c_RRP))*(1-(0.2/750*($Z39-250))),(a_RRP*$Z39^(-c_RRP))*(1-0.2))))</f>
        <v>10.617331177217721</v>
      </c>
      <c r="AD39" s="52">
        <f>IF(OR(RoPax!$B$31="Phase 3*",RoPax!$B$31="Phase 2*",RoPax!$B$31="Phase 1*",RoPax!$B$31="Phase 0*"),IF($Z39&gt;=10000,a_RRP2*10000^(-c_RRP)*(1-0.3),IF($Z39&lt;250,0,IF($Z39&lt;=1000,(a_RRP2*$Z39^(-c_RRP))*(1-(0.3/750*($Z39-250))),(a_RRP2*$Z39^(-c_RRP))*(1-0.3)))),IF($Z39&lt;250,0,IF($Z39&lt;=1000,(a_RRP*$Z39^(-c_RRP))*(1-(0.3/750*($Z39-250))),(a_RRP*$Z39^(-c_RRP))*(1-0.3))))</f>
        <v>9.2901647800655063</v>
      </c>
      <c r="AE39" s="54">
        <v>40000</v>
      </c>
      <c r="AF39" s="52">
        <f t="shared" si="21"/>
        <v>12.323637288722217</v>
      </c>
      <c r="AG39" s="52">
        <f t="shared" si="22"/>
        <v>11.707455424286106</v>
      </c>
      <c r="AH39" s="52">
        <f t="shared" si="23"/>
        <v>10.475091695413884</v>
      </c>
      <c r="AI39" s="52">
        <f t="shared" si="36"/>
        <v>8.6265461021055518</v>
      </c>
      <c r="AJ39" s="54">
        <v>40000</v>
      </c>
      <c r="AK39" s="52">
        <f t="shared" si="25"/>
        <v>5.3054807625534552</v>
      </c>
      <c r="AL39" s="52">
        <f t="shared" si="26"/>
        <v>5.040206724425782</v>
      </c>
      <c r="AM39" s="52">
        <f t="shared" si="27"/>
        <v>4.5096586481704373</v>
      </c>
      <c r="AN39" s="52">
        <f t="shared" si="37"/>
        <v>3.7138365337874184</v>
      </c>
      <c r="AO39" s="54">
        <v>40000</v>
      </c>
      <c r="AP39" s="52">
        <f t="shared" si="29"/>
        <v>8.9264477375169147</v>
      </c>
      <c r="AQ39" s="52">
        <f t="shared" si="38"/>
        <v>8.0338029637652237</v>
      </c>
      <c r="AR39" s="52">
        <f t="shared" si="39"/>
        <v>7.1411581900135319</v>
      </c>
      <c r="AS39" s="52">
        <f t="shared" si="40"/>
        <v>6.2485134162618401</v>
      </c>
      <c r="AT39" s="54">
        <v>40000</v>
      </c>
      <c r="AU39" s="52">
        <f t="shared" si="4"/>
        <v>14.842931008329717</v>
      </c>
      <c r="AV39" s="52">
        <f t="shared" si="41"/>
        <v>13.358637907496746</v>
      </c>
      <c r="AW39" s="52">
        <f t="shared" si="42"/>
        <v>11.874344806663775</v>
      </c>
      <c r="AX39" s="52">
        <f t="shared" si="43"/>
        <v>10.390051705830802</v>
      </c>
      <c r="AY39" s="54"/>
      <c r="AZ39" s="52">
        <f t="shared" si="5"/>
        <v>0</v>
      </c>
      <c r="BA39" s="52">
        <f t="shared" si="6"/>
        <v>0</v>
      </c>
      <c r="BB39" s="52">
        <f t="shared" si="7"/>
        <v>0</v>
      </c>
      <c r="BC39" s="52">
        <f t="shared" si="8"/>
        <v>0</v>
      </c>
    </row>
    <row r="40" spans="1:55" x14ac:dyDescent="0.2">
      <c r="A40" s="54"/>
      <c r="B40" s="52"/>
      <c r="C40" s="52"/>
      <c r="D40" s="52"/>
      <c r="E40" s="52"/>
      <c r="F40" s="54"/>
      <c r="G40" s="52"/>
      <c r="H40" s="52"/>
      <c r="I40" s="52"/>
      <c r="J40" s="52"/>
      <c r="K40" s="54"/>
      <c r="L40" s="52"/>
      <c r="M40" s="52"/>
      <c r="N40" s="52"/>
      <c r="O40" s="52"/>
      <c r="P40" s="54">
        <v>200000</v>
      </c>
      <c r="Q40" s="52">
        <f t="shared" si="0"/>
        <v>3.1552211735664586</v>
      </c>
      <c r="R40" s="52">
        <f t="shared" si="1"/>
        <v>2.8396990562098128</v>
      </c>
      <c r="S40" s="52">
        <f t="shared" si="2"/>
        <v>2.524176938853167</v>
      </c>
      <c r="T40" s="52">
        <f t="shared" si="3"/>
        <v>2.2086548214965207</v>
      </c>
      <c r="U40" s="54">
        <v>45000</v>
      </c>
      <c r="V40" s="52">
        <f>IF(OR('RoRo Cargo'!$B$29="Phase 3*",'RoRo Cargo'!$B$29="Phase 2*",'RoRo Cargo'!$B$29="Phase 1*",'RoRo Cargo'!$B$29="Phase 0*"),IF($U40&gt;=17000,a_RRC2*17000^(-c_RRC)*(1-(0/1000*($U40-1000))),IF($U40&lt;1000,0,IF($U40&lt;=2000,(a_RRC2*$U40^(-c_RRC))*(1-(0/1000*($U40-1000))),(a_RRC2*$U40^(-c_RRC))*(1-0)))),IF($U40&lt;1000,0,IF($U40&lt;=2000,(a_RRC*$U40^(-c_RRC))*(1-(0/1000*($U40-1000))),(a_RRC*$U40^(-c_RRC))*(1-0))))</f>
        <v>6.7674157200425773</v>
      </c>
      <c r="W40" s="52">
        <f>IF(OR('RoRo Cargo'!$B$29="Phase 3*",'RoRo Cargo'!$B$29="Phase 2*",'RoRo Cargo'!$B$29="Phase 1*",'RoRo Cargo'!$B$29="Phase 0*"),IF($U40&gt;=17000,a_RRC2*17000^(-c_RRC)*(1-(0.05)),IF($U40&lt;1000,0,IF($U40&lt;=2000,(a_RRC2*$U40^(-c_RRC))*(1-(0.05/1000*($U40-1000))),(a_RRC2*$U40^(-c_RRC))*(1-0.05)))),IF($U40&lt;1000,0,IF($U40&lt;=2000,(a_RRC*$U40^(-c_RRC))*(1-(0.05/1000*($U40-1000))),(a_RRC*$U40^(-c_RRC))*(1-0.05))))</f>
        <v>6.4290449340404479</v>
      </c>
      <c r="X40" s="52">
        <f>IF(OR('RoRo Cargo'!$B$29="Phase 3*",'RoRo Cargo'!$B$29="Phase 2*",'RoRo Cargo'!$B$29="Phase 1*",'RoRo Cargo'!$B$29="Phase 0*"),IF($U40&gt;=17000,a_RRC2*17000^(-c_RRC)*(1-(0.2)),IF($U40&lt;1000,0,IF($U40&lt;=2000,(a_RRC2*$U40^(-c_RRC))*(1-(0.2/1000*($U40-1000))),(a_RRC2*$U40^(-c_RRC))*(1-0.2)))),IF($U40&lt;1000,0,IF($U40&lt;=2000,(a_RRC*$U40^(-c_RRC))*(1-(0.2/1000*($U40-1000))),(a_RRC*$U40^(-c_RRC))*(1-0.2))))</f>
        <v>5.4139325760340622</v>
      </c>
      <c r="Y40" s="52">
        <f>IF(OR('RoRo Cargo'!$B$29="Phase 3*",'RoRo Cargo'!$B$29="Phase 2*",'RoRo Cargo'!$B$29="Phase 1*",'RoRo Cargo'!$B$29="Phase 0*"),IF($U40&gt;=17000,a_RRC2*17000^(-c_RRC)*(1-(0.3)),IF($U40&lt;1000,0,IF($U40&lt;=2000,(a_RRC2*$U40^(-c_RRC))*(1-(0.3/1000*($U40-1000))),(a_RRC2*$U40^(-c_RRC))*(1-0.3)))),IF($U40&lt;1000,0,IF($U40&lt;=2000,(a_RRC*$U40^(-c_RRC))*(1-(0.3/1000*($U40-1000))),(a_RRC*$U40^(-c_RRC))*(1-0.3))))</f>
        <v>4.7371910040298042</v>
      </c>
      <c r="Z40" s="54">
        <v>45000</v>
      </c>
      <c r="AA40" s="52">
        <f>IF(OR(RoPax!$B$31="Phase 3*",RoPax!$B$31="Phase 2*",RoPax!$B$31="Phase 1*",RoPax!$B$31="Phase 0*"),IF($Z40&gt;=10000,a_RRP2*10000^(-c_RRP)*(1-0),IF($Z40&lt;250,0,IF($Z40&lt;=1000,(a_RRP2*$Z40^(-c_RRP))*(1-(0/750*($Z40-250))),(a_RRP2*$Z40^(-c_RRP))*(1-0)))),IF($Z40&lt;250,0,IF($Z40&lt;=1000,(a_RRP*$Z40^(-c_RRP))*(1-(0/750*($Z40-250))),(a_RRP*$Z40^(-c_RRP))*(1-0))))</f>
        <v>12.689259124287878</v>
      </c>
      <c r="AB40" s="52">
        <f>IF(OR(RoPax!$B$31="Phase 3*",RoPax!$B$31="Phase 2*",RoPax!$B$31="Phase 1*",RoPax!$B$31="Phase 0*"),IF($Z40&gt;=10000,a_RRP2*10000^(-c_RRP)*(1-0.05),IF($Z40&lt;250,0,IF($Z40&lt;=1000,(a_RRP2*$Z40^(-c_RRP))*(1-(0.05/750*($Z40-250))),(a_RRP2*$Z40^(-c_RRP))*(1-0.05)))),IF($Z40&lt;250,0,IF($Z40&lt;=1000,(a_RRP*$Z40^(-c_RRP))*(1-(0.05/750*($Z40-250))),(a_RRP*$Z40^(-c_RRP))*(1-0.05))))</f>
        <v>12.054796168073484</v>
      </c>
      <c r="AC40" s="52">
        <f>IF(OR(RoPax!$B$31="Phase 3*",RoPax!$B$31="Phase 2*",RoPax!$B$31="Phase 1*",RoPax!$B$31="Phase 0*"),IF($Z40&gt;=10000,a_RRP2*10000^(-c_RRP)*(1-0.2),IF($Z40&lt;250,0,IF($Z40&lt;=1000,(a_RRP2*$Z40^(-c_RRP))*(1-(0.2/750*($Z40-250))),(a_RRP2*$Z40^(-c_RRP))*(1-0.2)))),IF($Z40&lt;250,0,IF($Z40&lt;=1000,(a_RRP*$Z40^(-c_RRP))*(1-(0.2/750*($Z40-250))),(a_RRP*$Z40^(-c_RRP))*(1-0.2))))</f>
        <v>10.151407299430304</v>
      </c>
      <c r="AD40" s="52">
        <f>IF(OR(RoPax!$B$31="Phase 3*",RoPax!$B$31="Phase 2*",RoPax!$B$31="Phase 1*",RoPax!$B$31="Phase 0*"),IF($Z40&gt;=10000,a_RRP2*10000^(-c_RRP)*(1-0.3),IF($Z40&lt;250,0,IF($Z40&lt;=1000,(a_RRP2*$Z40^(-c_RRP))*(1-(0.3/750*($Z40-250))),(a_RRP2*$Z40^(-c_RRP))*(1-0.3)))),IF($Z40&lt;250,0,IF($Z40&lt;=1000,(a_RRP*$Z40^(-c_RRP))*(1-(0.3/750*($Z40-250))),(a_RRP*$Z40^(-c_RRP))*(1-0.3))))</f>
        <v>8.8824813870015138</v>
      </c>
      <c r="AE40" s="54">
        <v>45000</v>
      </c>
      <c r="AF40" s="52">
        <f t="shared" si="21"/>
        <v>11.658591070791292</v>
      </c>
      <c r="AG40" s="52">
        <f t="shared" si="22"/>
        <v>11.075661517251728</v>
      </c>
      <c r="AH40" s="52">
        <f t="shared" si="23"/>
        <v>9.909802410172599</v>
      </c>
      <c r="AI40" s="52">
        <f t="shared" si="36"/>
        <v>8.1610137495539039</v>
      </c>
      <c r="AJ40" s="54">
        <v>45000</v>
      </c>
      <c r="AK40" s="52">
        <f t="shared" si="25"/>
        <v>5.0191700060148472</v>
      </c>
      <c r="AL40" s="52">
        <f t="shared" si="26"/>
        <v>4.7682115057141043</v>
      </c>
      <c r="AM40" s="52">
        <f t="shared" si="27"/>
        <v>4.2662945051126204</v>
      </c>
      <c r="AN40" s="52">
        <f t="shared" si="37"/>
        <v>3.5134190042103928</v>
      </c>
      <c r="AO40" s="54">
        <v>45000</v>
      </c>
      <c r="AP40" s="52">
        <f t="shared" si="29"/>
        <v>8.4596640441650166</v>
      </c>
      <c r="AQ40" s="52">
        <f t="shared" si="38"/>
        <v>7.6136976397485148</v>
      </c>
      <c r="AR40" s="52">
        <f t="shared" si="39"/>
        <v>6.7677312353320138</v>
      </c>
      <c r="AS40" s="52">
        <f t="shared" si="40"/>
        <v>5.9217648309155111</v>
      </c>
      <c r="AT40" s="54">
        <v>45000</v>
      </c>
      <c r="AU40" s="52">
        <f t="shared" si="4"/>
        <v>14.03697004624979</v>
      </c>
      <c r="AV40" s="52">
        <f t="shared" si="41"/>
        <v>12.633273041624811</v>
      </c>
      <c r="AW40" s="52">
        <f t="shared" si="42"/>
        <v>11.229576036999832</v>
      </c>
      <c r="AX40" s="52">
        <f t="shared" si="43"/>
        <v>9.8258790323748517</v>
      </c>
      <c r="AY40" s="54"/>
      <c r="AZ40" s="52">
        <f t="shared" si="5"/>
        <v>0</v>
      </c>
      <c r="BA40" s="52">
        <f t="shared" si="6"/>
        <v>0</v>
      </c>
      <c r="BB40" s="52">
        <f t="shared" si="7"/>
        <v>0</v>
      </c>
      <c r="BC40" s="52">
        <f t="shared" si="8"/>
        <v>0</v>
      </c>
    </row>
    <row r="41" spans="1:55" x14ac:dyDescent="0.2">
      <c r="A41" s="54"/>
      <c r="B41" s="52"/>
      <c r="C41" s="52"/>
      <c r="D41" s="52"/>
      <c r="E41" s="52"/>
      <c r="F41" s="54"/>
      <c r="G41" s="52"/>
      <c r="H41" s="52"/>
      <c r="I41" s="52"/>
      <c r="J41" s="52"/>
      <c r="K41" s="54"/>
      <c r="L41" s="52"/>
      <c r="M41" s="52"/>
      <c r="N41" s="52"/>
      <c r="O41" s="52"/>
      <c r="P41" s="54">
        <v>250000</v>
      </c>
      <c r="Q41" s="52">
        <f t="shared" si="0"/>
        <v>2.8296825806542421</v>
      </c>
      <c r="R41" s="52">
        <f t="shared" si="1"/>
        <v>2.546714322588818</v>
      </c>
      <c r="S41" s="52">
        <f t="shared" si="2"/>
        <v>2.2637460645233936</v>
      </c>
      <c r="T41" s="52">
        <f t="shared" si="3"/>
        <v>1.9807778064579693</v>
      </c>
      <c r="U41" s="54">
        <v>50000</v>
      </c>
      <c r="V41" s="52">
        <f>IF(OR('RoRo Cargo'!$B$29="Phase 3*",'RoRo Cargo'!$B$29="Phase 2*",'RoRo Cargo'!$B$29="Phase 1*",'RoRo Cargo'!$B$29="Phase 0*"),IF($U41&gt;=17000,a_RRC2*17000^(-c_RRC)*(1-(0/1000*($U41-1000))),IF($U41&lt;1000,0,IF($U41&lt;=2000,(a_RRC2*$U41^(-c_RRC))*(1-(0/1000*($U41-1000))),(a_RRC2*$U41^(-c_RRC))*(1-0)))),IF($U41&lt;1000,0,IF($U41&lt;=2000,(a_RRC*$U41^(-c_RRC))*(1-(0/1000*($U41-1000))),(a_RRC*$U41^(-c_RRC))*(1-0))))</f>
        <v>6.4214872644300538</v>
      </c>
      <c r="W41" s="52">
        <f>IF(OR('RoRo Cargo'!$B$29="Phase 3*",'RoRo Cargo'!$B$29="Phase 2*",'RoRo Cargo'!$B$29="Phase 1*",'RoRo Cargo'!$B$29="Phase 0*"),IF($U41&gt;=17000,a_RRC2*17000^(-c_RRC)*(1-(0.05)),IF($U41&lt;1000,0,IF($U41&lt;=2000,(a_RRC2*$U41^(-c_RRC))*(1-(0.05/1000*($U41-1000))),(a_RRC2*$U41^(-c_RRC))*(1-0.05)))),IF($U41&lt;1000,0,IF($U41&lt;=2000,(a_RRC*$U41^(-c_RRC))*(1-(0.05/1000*($U41-1000))),(a_RRC*$U41^(-c_RRC))*(1-0.05))))</f>
        <v>6.1004129012085508</v>
      </c>
      <c r="X41" s="52">
        <f>IF(OR('RoRo Cargo'!$B$29="Phase 3*",'RoRo Cargo'!$B$29="Phase 2*",'RoRo Cargo'!$B$29="Phase 1*",'RoRo Cargo'!$B$29="Phase 0*"),IF($U41&gt;=17000,a_RRC2*17000^(-c_RRC)*(1-(0.2)),IF($U41&lt;1000,0,IF($U41&lt;=2000,(a_RRC2*$U41^(-c_RRC))*(1-(0.2/1000*($U41-1000))),(a_RRC2*$U41^(-c_RRC))*(1-0.2)))),IF($U41&lt;1000,0,IF($U41&lt;=2000,(a_RRC*$U41^(-c_RRC))*(1-(0.2/1000*($U41-1000))),(a_RRC*$U41^(-c_RRC))*(1-0.2))))</f>
        <v>5.1371898115440437</v>
      </c>
      <c r="Y41" s="52">
        <f>IF(OR('RoRo Cargo'!$B$29="Phase 3*",'RoRo Cargo'!$B$29="Phase 2*",'RoRo Cargo'!$B$29="Phase 1*",'RoRo Cargo'!$B$29="Phase 0*"),IF($U41&gt;=17000,a_RRC2*17000^(-c_RRC)*(1-(0.3)),IF($U41&lt;1000,0,IF($U41&lt;=2000,(a_RRC2*$U41^(-c_RRC))*(1-(0.3/1000*($U41-1000))),(a_RRC2*$U41^(-c_RRC))*(1-0.3)))),IF($U41&lt;1000,0,IF($U41&lt;=2000,(a_RRC*$U41^(-c_RRC))*(1-(0.3/1000*($U41-1000))),(a_RRC*$U41^(-c_RRC))*(1-0.3))))</f>
        <v>4.4950410851010369</v>
      </c>
      <c r="Z41" s="54">
        <v>50000</v>
      </c>
      <c r="AA41" s="52">
        <f>IF(OR(RoPax!$B$31="Phase 3*",RoPax!$B$31="Phase 2*",RoPax!$B$31="Phase 1*",RoPax!$B$31="Phase 0*"),IF($Z41&gt;=10000,a_RRP2*10000^(-c_RRP)*(1-0),IF($Z41&lt;250,0,IF($Z41&lt;=1000,(a_RRP2*$Z41^(-c_RRP))*(1-(0/750*($Z41-250))),(a_RRP2*$Z41^(-c_RRP))*(1-0)))),IF($Z41&lt;250,0,IF($Z41&lt;=1000,(a_RRP*$Z41^(-c_RRP))*(1-(0/750*($Z41-250))),(a_RRP*$Z41^(-c_RRP))*(1-0))))</f>
        <v>12.189970712613293</v>
      </c>
      <c r="AB41" s="52">
        <f>IF(OR(RoPax!$B$31="Phase 3*",RoPax!$B$31="Phase 2*",RoPax!$B$31="Phase 1*",RoPax!$B$31="Phase 0*"),IF($Z41&gt;=10000,a_RRP2*10000^(-c_RRP)*(1-0.05),IF($Z41&lt;250,0,IF($Z41&lt;=1000,(a_RRP2*$Z41^(-c_RRP))*(1-(0.05/750*($Z41-250))),(a_RRP2*$Z41^(-c_RRP))*(1-0.05)))),IF($Z41&lt;250,0,IF($Z41&lt;=1000,(a_RRP*$Z41^(-c_RRP))*(1-(0.05/750*($Z41-250))),(a_RRP*$Z41^(-c_RRP))*(1-0.05))))</f>
        <v>11.580472176982628</v>
      </c>
      <c r="AC41" s="52">
        <f>IF(OR(RoPax!$B$31="Phase 3*",RoPax!$B$31="Phase 2*",RoPax!$B$31="Phase 1*",RoPax!$B$31="Phase 0*"),IF($Z41&gt;=10000,a_RRP2*10000^(-c_RRP)*(1-0.2),IF($Z41&lt;250,0,IF($Z41&lt;=1000,(a_RRP2*$Z41^(-c_RRP))*(1-(0.2/750*($Z41-250))),(a_RRP2*$Z41^(-c_RRP))*(1-0.2)))),IF($Z41&lt;250,0,IF($Z41&lt;=1000,(a_RRP*$Z41^(-c_RRP))*(1-(0.2/750*($Z41-250))),(a_RRP*$Z41^(-c_RRP))*(1-0.2))))</f>
        <v>9.7519765700906351</v>
      </c>
      <c r="AD41" s="52">
        <f>IF(OR(RoPax!$B$31="Phase 3*",RoPax!$B$31="Phase 2*",RoPax!$B$31="Phase 1*",RoPax!$B$31="Phase 0*"),IF($Z41&gt;=10000,a_RRP2*10000^(-c_RRP)*(1-0.3),IF($Z41&lt;250,0,IF($Z41&lt;=1000,(a_RRP2*$Z41^(-c_RRP))*(1-(0.3/750*($Z41-250))),(a_RRP2*$Z41^(-c_RRP))*(1-0.3)))),IF($Z41&lt;250,0,IF($Z41&lt;=1000,(a_RRP*$Z41^(-c_RRP))*(1-(0.3/750*($Z41-250))),(a_RRP*$Z41^(-c_RRP))*(1-0.3))))</f>
        <v>8.5329794988293042</v>
      </c>
      <c r="AE41" s="54">
        <v>50000</v>
      </c>
      <c r="AF41" s="52">
        <f t="shared" si="21"/>
        <v>11.09415658963596</v>
      </c>
      <c r="AG41" s="52">
        <f t="shared" si="22"/>
        <v>10.53944876015416</v>
      </c>
      <c r="AH41" s="52">
        <f t="shared" si="23"/>
        <v>9.4300331011905651</v>
      </c>
      <c r="AI41" s="52">
        <f t="shared" si="36"/>
        <v>7.7659096127451708</v>
      </c>
      <c r="AJ41" s="54">
        <v>50000</v>
      </c>
      <c r="AK41" s="52">
        <f t="shared" si="25"/>
        <v>4.7761738668610345</v>
      </c>
      <c r="AL41" s="52">
        <f t="shared" si="26"/>
        <v>4.5373651735179825</v>
      </c>
      <c r="AM41" s="52">
        <f t="shared" si="27"/>
        <v>4.0597477868318794</v>
      </c>
      <c r="AN41" s="52">
        <f t="shared" si="37"/>
        <v>3.3433217068027239</v>
      </c>
      <c r="AO41" s="54">
        <v>50000</v>
      </c>
      <c r="AP41" s="52">
        <f t="shared" si="29"/>
        <v>8.0628336692433589</v>
      </c>
      <c r="AQ41" s="52">
        <f t="shared" si="38"/>
        <v>7.256550302319023</v>
      </c>
      <c r="AR41" s="52">
        <f t="shared" si="39"/>
        <v>6.4502669353946871</v>
      </c>
      <c r="AS41" s="52">
        <f t="shared" si="40"/>
        <v>5.6439835684703512</v>
      </c>
      <c r="AT41" s="54">
        <v>50000</v>
      </c>
      <c r="AU41" s="52">
        <f t="shared" si="4"/>
        <v>13.353168295760547</v>
      </c>
      <c r="AV41" s="52">
        <f t="shared" si="41"/>
        <v>12.017851466184492</v>
      </c>
      <c r="AW41" s="52">
        <f t="shared" si="42"/>
        <v>10.682534636608437</v>
      </c>
      <c r="AX41" s="52">
        <f t="shared" si="43"/>
        <v>9.3472178070323828</v>
      </c>
      <c r="AY41" s="54"/>
      <c r="AZ41" s="52">
        <f t="shared" si="5"/>
        <v>0</v>
      </c>
      <c r="BA41" s="52">
        <f t="shared" si="6"/>
        <v>0</v>
      </c>
      <c r="BB41" s="52">
        <f t="shared" si="7"/>
        <v>0</v>
      </c>
      <c r="BC41" s="52">
        <f t="shared" si="8"/>
        <v>0</v>
      </c>
    </row>
    <row r="42" spans="1:55" x14ac:dyDescent="0.2">
      <c r="A42" s="54"/>
      <c r="B42" s="52"/>
      <c r="C42" s="52"/>
      <c r="D42" s="52"/>
      <c r="E42" s="52"/>
      <c r="F42" s="54"/>
      <c r="G42" s="52"/>
      <c r="H42" s="52"/>
      <c r="I42" s="52"/>
      <c r="J42" s="52"/>
      <c r="K42" s="54"/>
      <c r="L42" s="52"/>
      <c r="M42" s="52"/>
      <c r="N42" s="52"/>
      <c r="O42" s="52"/>
      <c r="P42" s="54">
        <v>300000</v>
      </c>
      <c r="Q42" s="52">
        <f t="shared" si="0"/>
        <v>2.5887926878256677</v>
      </c>
      <c r="R42" s="52">
        <f t="shared" si="1"/>
        <v>2.329913419043101</v>
      </c>
      <c r="S42" s="52">
        <f t="shared" si="2"/>
        <v>2.0710341502605343</v>
      </c>
      <c r="T42" s="52">
        <f t="shared" si="3"/>
        <v>1.8121548814779673</v>
      </c>
      <c r="U42" s="54">
        <v>75000</v>
      </c>
      <c r="V42" s="52">
        <f>IF(OR('RoRo Cargo'!$B$29="Phase 3*",'RoRo Cargo'!$B$29="Phase 2*",'RoRo Cargo'!$B$29="Phase 1*",'RoRo Cargo'!$B$29="Phase 0*"),IF($U42&gt;=17000,a_RRC2*17000^(-c_RRC)*(1-(0/1000*($U42-1000))),IF($U42&lt;1000,0,IF($U42&lt;=2000,(a_RRC2*$U42^(-c_RRC))*(1-(0/1000*($U42-1000))),(a_RRC2*$U42^(-c_RRC))*(1-0)))),IF($U42&lt;1000,0,IF($U42&lt;=2000,(a_RRC*$U42^(-c_RRC))*(1-(0/1000*($U42-1000))),(a_RRC*$U42^(-c_RRC))*(1-0))))</f>
        <v>5.2473759266814479</v>
      </c>
      <c r="W42" s="52">
        <f>IF(OR('RoRo Cargo'!$B$29="Phase 3*",'RoRo Cargo'!$B$29="Phase 2*",'RoRo Cargo'!$B$29="Phase 1*",'RoRo Cargo'!$B$29="Phase 0*"),IF($U42&gt;=17000,a_RRC2*17000^(-c_RRC)*(1-(0.05)),IF($U42&lt;1000,0,IF($U42&lt;=2000,(a_RRC2*$U42^(-c_RRC))*(1-(0.05/1000*($U42-1000))),(a_RRC2*$U42^(-c_RRC))*(1-0.05)))),IF($U42&lt;1000,0,IF($U42&lt;=2000,(a_RRC*$U42^(-c_RRC))*(1-(0.05/1000*($U42-1000))),(a_RRC*$U42^(-c_RRC))*(1-0.05))))</f>
        <v>4.9850071303473751</v>
      </c>
      <c r="X42" s="52">
        <f>IF(OR('RoRo Cargo'!$B$29="Phase 3*",'RoRo Cargo'!$B$29="Phase 2*",'RoRo Cargo'!$B$29="Phase 1*",'RoRo Cargo'!$B$29="Phase 0*"),IF($U42&gt;=17000,a_RRC2*17000^(-c_RRC)*(1-(0.2)),IF($U42&lt;1000,0,IF($U42&lt;=2000,(a_RRC2*$U42^(-c_RRC))*(1-(0.2/1000*($U42-1000))),(a_RRC2*$U42^(-c_RRC))*(1-0.2)))),IF($U42&lt;1000,0,IF($U42&lt;=2000,(a_RRC*$U42^(-c_RRC))*(1-(0.2/1000*($U42-1000))),(a_RRC*$U42^(-c_RRC))*(1-0.2))))</f>
        <v>4.1979007413451583</v>
      </c>
      <c r="Y42" s="52">
        <f>IF(OR('RoRo Cargo'!$B$29="Phase 3*",'RoRo Cargo'!$B$29="Phase 2*",'RoRo Cargo'!$B$29="Phase 1*",'RoRo Cargo'!$B$29="Phase 0*"),IF($U42&gt;=17000,a_RRC2*17000^(-c_RRC)*(1-(0.3)),IF($U42&lt;1000,0,IF($U42&lt;=2000,(a_RRC2*$U42^(-c_RRC))*(1-(0.3/1000*($U42-1000))),(a_RRC2*$U42^(-c_RRC))*(1-0.3)))),IF($U42&lt;1000,0,IF($U42&lt;=2000,(a_RRC*$U42^(-c_RRC))*(1-(0.3/1000*($U42-1000))),(a_RRC*$U42^(-c_RRC))*(1-0.3))))</f>
        <v>3.6731631486770131</v>
      </c>
      <c r="Z42" s="54">
        <v>75000</v>
      </c>
      <c r="AA42" s="52">
        <f>IF(OR(RoPax!$B$31="Phase 3*",RoPax!$B$31="Phase 2*",RoPax!$B$31="Phase 1*",RoPax!$B$31="Phase 0*"),IF($Z42&gt;=10000,a_RRP2*10000^(-c_RRP)*(1-0),IF($Z42&lt;250,0,IF($Z42&lt;=1000,(a_RRP2*$Z42^(-c_RRP))*(1-(0/750*($Z42-250))),(a_RRP2*$Z42^(-c_RRP))*(1-0)))),IF($Z42&lt;250,0,IF($Z42&lt;=1000,(a_RRP*$Z42^(-c_RRP))*(1-(0/750*($Z42-250))),(a_RRP*$Z42^(-c_RRP))*(1-0))))</f>
        <v>10.445082930681258</v>
      </c>
      <c r="AB42" s="52">
        <f>IF(OR(RoPax!$B$31="Phase 3*",RoPax!$B$31="Phase 2*",RoPax!$B$31="Phase 1*",RoPax!$B$31="Phase 0*"),IF($Z42&gt;=10000,a_RRP2*10000^(-c_RRP)*(1-0.05),IF($Z42&lt;250,0,IF($Z42&lt;=1000,(a_RRP2*$Z42^(-c_RRP))*(1-(0.05/750*($Z42-250))),(a_RRP2*$Z42^(-c_RRP))*(1-0.05)))),IF($Z42&lt;250,0,IF($Z42&lt;=1000,(a_RRP*$Z42^(-c_RRP))*(1-(0.05/750*($Z42-250))),(a_RRP*$Z42^(-c_RRP))*(1-0.05))))</f>
        <v>9.9228287841471943</v>
      </c>
      <c r="AC42" s="52">
        <f>IF(OR(RoPax!$B$31="Phase 3*",RoPax!$B$31="Phase 2*",RoPax!$B$31="Phase 1*",RoPax!$B$31="Phase 0*"),IF($Z42&gt;=10000,a_RRP2*10000^(-c_RRP)*(1-0.2),IF($Z42&lt;250,0,IF($Z42&lt;=1000,(a_RRP2*$Z42^(-c_RRP))*(1-(0.2/750*($Z42-250))),(a_RRP2*$Z42^(-c_RRP))*(1-0.2)))),IF($Z42&lt;250,0,IF($Z42&lt;=1000,(a_RRP*$Z42^(-c_RRP))*(1-(0.2/750*($Z42-250))),(a_RRP*$Z42^(-c_RRP))*(1-0.2))))</f>
        <v>8.3560663445450061</v>
      </c>
      <c r="AD42" s="52">
        <f>IF(OR(RoPax!$B$31="Phase 3*",RoPax!$B$31="Phase 2*",RoPax!$B$31="Phase 1*",RoPax!$B$31="Phase 0*"),IF($Z42&gt;=10000,a_RRP2*10000^(-c_RRP)*(1-0.3),IF($Z42&lt;250,0,IF($Z42&lt;=1000,(a_RRP2*$Z42^(-c_RRP))*(1-(0.3/750*($Z42-250))),(a_RRP2*$Z42^(-c_RRP))*(1-0.3)))),IF($Z42&lt;250,0,IF($Z42&lt;=1000,(a_RRP*$Z42^(-c_RRP))*(1-(0.3/750*($Z42-250))),(a_RRP*$Z42^(-c_RRP))*(1-0.3))))</f>
        <v>7.3115580514768794</v>
      </c>
      <c r="AE42" s="54">
        <v>75000</v>
      </c>
      <c r="AF42" s="52">
        <f t="shared" si="21"/>
        <v>9.1654819920212507</v>
      </c>
      <c r="AG42" s="52">
        <f t="shared" si="22"/>
        <v>8.7072078924201879</v>
      </c>
      <c r="AH42" s="52">
        <f t="shared" si="23"/>
        <v>7.7906596932180632</v>
      </c>
      <c r="AI42" s="52">
        <f t="shared" si="36"/>
        <v>6.4158373944148748</v>
      </c>
      <c r="AJ42" s="54">
        <v>75000</v>
      </c>
      <c r="AK42" s="52">
        <f t="shared" si="25"/>
        <v>3.9458552088918881</v>
      </c>
      <c r="AL42" s="52">
        <f t="shared" si="26"/>
        <v>3.7485624484472937</v>
      </c>
      <c r="AM42" s="52">
        <f t="shared" si="27"/>
        <v>3.3539769275581048</v>
      </c>
      <c r="AN42" s="52">
        <f t="shared" si="37"/>
        <v>2.7620986462243216</v>
      </c>
      <c r="AO42" s="54">
        <v>75000</v>
      </c>
      <c r="AP42" s="52">
        <f t="shared" si="29"/>
        <v>6.7017787571314127</v>
      </c>
      <c r="AQ42" s="52">
        <f t="shared" si="38"/>
        <v>6.0316008814182718</v>
      </c>
      <c r="AR42" s="52">
        <f t="shared" si="39"/>
        <v>5.3614230057051309</v>
      </c>
      <c r="AS42" s="52">
        <f t="shared" si="40"/>
        <v>4.6912451299919882</v>
      </c>
      <c r="AT42" s="54">
        <v>75000</v>
      </c>
      <c r="AU42" s="52">
        <f t="shared" si="4"/>
        <v>11.018362739689442</v>
      </c>
      <c r="AV42" s="52">
        <f t="shared" si="41"/>
        <v>9.9165264657204979</v>
      </c>
      <c r="AW42" s="52">
        <f t="shared" si="42"/>
        <v>8.8146901917515539</v>
      </c>
      <c r="AX42" s="52">
        <f t="shared" si="43"/>
        <v>7.712853917782609</v>
      </c>
      <c r="AY42" s="54"/>
      <c r="AZ42" s="52">
        <f t="shared" si="5"/>
        <v>0</v>
      </c>
      <c r="BA42" s="52">
        <f t="shared" si="6"/>
        <v>0</v>
      </c>
      <c r="BB42" s="52">
        <f t="shared" si="7"/>
        <v>0</v>
      </c>
      <c r="BC42" s="52">
        <f t="shared" si="8"/>
        <v>0</v>
      </c>
    </row>
    <row r="43" spans="1:55" x14ac:dyDescent="0.2">
      <c r="A43" s="54"/>
      <c r="B43" s="52"/>
      <c r="C43" s="52"/>
      <c r="D43" s="52"/>
      <c r="E43" s="52"/>
      <c r="F43" s="54"/>
      <c r="G43" s="52"/>
      <c r="H43" s="52"/>
      <c r="I43" s="52"/>
      <c r="J43" s="52"/>
      <c r="K43" s="54"/>
      <c r="L43" s="52"/>
      <c r="M43" s="52"/>
      <c r="N43" s="52"/>
      <c r="O43" s="52"/>
      <c r="P43" s="54">
        <v>350000</v>
      </c>
      <c r="Q43" s="52">
        <f t="shared" si="0"/>
        <v>2.4011939470261519</v>
      </c>
      <c r="R43" s="52">
        <f t="shared" si="1"/>
        <v>2.1610745523235368</v>
      </c>
      <c r="S43" s="52">
        <f t="shared" si="2"/>
        <v>1.9209551576209216</v>
      </c>
      <c r="T43" s="52">
        <f t="shared" si="3"/>
        <v>1.6808357629183062</v>
      </c>
      <c r="U43" s="54">
        <v>100000</v>
      </c>
      <c r="V43" s="52">
        <f>IF(OR('RoRo Cargo'!$B$29="Phase 3*",'RoRo Cargo'!$B$29="Phase 2*",'RoRo Cargo'!$B$29="Phase 1*",'RoRo Cargo'!$B$29="Phase 0*"),IF($U43&gt;=17000,a_RRC2*17000^(-c_RRC)*(1-(0/1000*($U43-1000))),IF($U43&lt;1000,0,IF($U43&lt;=2000,(a_RRC2*$U43^(-c_RRC))*(1-(0/1000*($U43-1000))),(a_RRC2*$U43^(-c_RRC))*(1-0)))),IF($U43&lt;1000,0,IF($U43&lt;=2000,(a_RRC*$U43^(-c_RRC))*(1-(0/1000*($U43-1000))),(a_RRC*$U43^(-c_RRC))*(1-0))))</f>
        <v>4.5469762703466712</v>
      </c>
      <c r="W43" s="52">
        <f>IF(OR('RoRo Cargo'!$B$29="Phase 3*",'RoRo Cargo'!$B$29="Phase 2*",'RoRo Cargo'!$B$29="Phase 1*",'RoRo Cargo'!$B$29="Phase 0*"),IF($U43&gt;=17000,a_RRC2*17000^(-c_RRC)*(1-(0.05)),IF($U43&lt;1000,0,IF($U43&lt;=2000,(a_RRC2*$U43^(-c_RRC))*(1-(0.05/1000*($U43-1000))),(a_RRC2*$U43^(-c_RRC))*(1-0.05)))),IF($U43&lt;1000,0,IF($U43&lt;=2000,(a_RRC*$U43^(-c_RRC))*(1-(0.05/1000*($U43-1000))),(a_RRC*$U43^(-c_RRC))*(1-0.05))))</f>
        <v>4.3196274568293376</v>
      </c>
      <c r="X43" s="52">
        <f>IF(OR('RoRo Cargo'!$B$29="Phase 3*",'RoRo Cargo'!$B$29="Phase 2*",'RoRo Cargo'!$B$29="Phase 1*",'RoRo Cargo'!$B$29="Phase 0*"),IF($U43&gt;=17000,a_RRC2*17000^(-c_RRC)*(1-(0.2)),IF($U43&lt;1000,0,IF($U43&lt;=2000,(a_RRC2*$U43^(-c_RRC))*(1-(0.2/1000*($U43-1000))),(a_RRC2*$U43^(-c_RRC))*(1-0.2)))),IF($U43&lt;1000,0,IF($U43&lt;=2000,(a_RRC*$U43^(-c_RRC))*(1-(0.2/1000*($U43-1000))),(a_RRC*$U43^(-c_RRC))*(1-0.2))))</f>
        <v>3.6375810162773372</v>
      </c>
      <c r="Y43" s="52">
        <f>IF(OR('RoRo Cargo'!$B$29="Phase 3*",'RoRo Cargo'!$B$29="Phase 2*",'RoRo Cargo'!$B$29="Phase 1*",'RoRo Cargo'!$B$29="Phase 0*"),IF($U43&gt;=17000,a_RRC2*17000^(-c_RRC)*(1-(0.3)),IF($U43&lt;1000,0,IF($U43&lt;=2000,(a_RRC2*$U43^(-c_RRC))*(1-(0.3/1000*($U43-1000))),(a_RRC2*$U43^(-c_RRC))*(1-0.3)))),IF($U43&lt;1000,0,IF($U43&lt;=2000,(a_RRC*$U43^(-c_RRC))*(1-(0.3/1000*($U43-1000))),(a_RRC*$U43^(-c_RRC))*(1-0.3))))</f>
        <v>3.1828833892426696</v>
      </c>
      <c r="Z43" s="54">
        <v>100000</v>
      </c>
      <c r="AA43" s="52">
        <f>IF(OR(RoPax!$B$31="Phase 3*",RoPax!$B$31="Phase 2*",RoPax!$B$31="Phase 1*",RoPax!$B$31="Phase 0*"),IF($Z43&gt;=10000,a_RRP2*10000^(-c_RRP)*(1-0),IF($Z43&lt;250,0,IF($Z43&lt;=1000,(a_RRP2*$Z43^(-c_RRP))*(1-(0/750*($Z43-250))),(a_RRP2*$Z43^(-c_RRP))*(1-0)))),IF($Z43&lt;250,0,IF($Z43&lt;=1000,(a_RRP*$Z43^(-c_RRP))*(1-(0/750*($Z43-250))),(a_RRP*$Z43^(-c_RRP))*(1-0))))</f>
        <v>9.3607411038996471</v>
      </c>
      <c r="AB43" s="52">
        <f>IF(OR(RoPax!$B$31="Phase 3*",RoPax!$B$31="Phase 2*",RoPax!$B$31="Phase 1*",RoPax!$B$31="Phase 0*"),IF($Z43&gt;=10000,a_RRP2*10000^(-c_RRP)*(1-0.05),IF($Z43&lt;250,0,IF($Z43&lt;=1000,(a_RRP2*$Z43^(-c_RRP))*(1-(0.05/750*($Z43-250))),(a_RRP2*$Z43^(-c_RRP))*(1-0.05)))),IF($Z43&lt;250,0,IF($Z43&lt;=1000,(a_RRP*$Z43^(-c_RRP))*(1-(0.05/750*($Z43-250))),(a_RRP*$Z43^(-c_RRP))*(1-0.05))))</f>
        <v>8.8927040487046636</v>
      </c>
      <c r="AC43" s="52">
        <f>IF(OR(RoPax!$B$31="Phase 3*",RoPax!$B$31="Phase 2*",RoPax!$B$31="Phase 1*",RoPax!$B$31="Phase 0*"),IF($Z43&gt;=10000,a_RRP2*10000^(-c_RRP)*(1-0.2),IF($Z43&lt;250,0,IF($Z43&lt;=1000,(a_RRP2*$Z43^(-c_RRP))*(1-(0.2/750*($Z43-250))),(a_RRP2*$Z43^(-c_RRP))*(1-0.2)))),IF($Z43&lt;250,0,IF($Z43&lt;=1000,(a_RRP*$Z43^(-c_RRP))*(1-(0.2/750*($Z43-250))),(a_RRP*$Z43^(-c_RRP))*(1-0.2))))</f>
        <v>7.4885928831197184</v>
      </c>
      <c r="AD43" s="52">
        <f>IF(OR(RoPax!$B$31="Phase 3*",RoPax!$B$31="Phase 2*",RoPax!$B$31="Phase 1*",RoPax!$B$31="Phase 0*"),IF($Z43&gt;=10000,a_RRP2*10000^(-c_RRP)*(1-0.3),IF($Z43&lt;250,0,IF($Z43&lt;=1000,(a_RRP2*$Z43^(-c_RRP))*(1-(0.3/750*($Z43-250))),(a_RRP2*$Z43^(-c_RRP))*(1-0.3)))),IF($Z43&lt;250,0,IF($Z43&lt;=1000,(a_RRP*$Z43^(-c_RRP))*(1-(0.3/750*($Z43-250))),(a_RRP*$Z43^(-c_RRP))*(1-0.3))))</f>
        <v>6.5525187727297522</v>
      </c>
      <c r="AE43" s="54">
        <v>100000</v>
      </c>
      <c r="AF43" s="52">
        <f t="shared" si="21"/>
        <v>8.0040383998603506</v>
      </c>
      <c r="AG43" s="52">
        <f t="shared" si="22"/>
        <v>7.6038364798673328</v>
      </c>
      <c r="AH43" s="52">
        <f t="shared" si="23"/>
        <v>6.8034326398812981</v>
      </c>
      <c r="AI43" s="52">
        <f t="shared" si="36"/>
        <v>5.6028268799022447</v>
      </c>
      <c r="AJ43" s="54">
        <v>100000</v>
      </c>
      <c r="AK43" s="52">
        <f t="shared" si="25"/>
        <v>3.4458391429663107</v>
      </c>
      <c r="AL43" s="52">
        <f t="shared" si="26"/>
        <v>3.273547185817995</v>
      </c>
      <c r="AM43" s="52">
        <f t="shared" si="27"/>
        <v>2.928963271521364</v>
      </c>
      <c r="AN43" s="52">
        <f t="shared" si="37"/>
        <v>2.4120874000764174</v>
      </c>
      <c r="AO43" s="54">
        <v>100000</v>
      </c>
      <c r="AP43" s="52">
        <f t="shared" si="29"/>
        <v>5.877843554797451</v>
      </c>
      <c r="AQ43" s="52">
        <f t="shared" si="38"/>
        <v>5.2900591993177057</v>
      </c>
      <c r="AR43" s="52">
        <f t="shared" si="39"/>
        <v>4.7022748438379613</v>
      </c>
      <c r="AS43" s="52">
        <f t="shared" si="40"/>
        <v>4.1144904883582152</v>
      </c>
      <c r="AT43" s="54">
        <v>100000</v>
      </c>
      <c r="AU43" s="52">
        <f t="shared" si="4"/>
        <v>9.6138226152314967</v>
      </c>
      <c r="AV43" s="52">
        <f t="shared" si="41"/>
        <v>8.6524403537083465</v>
      </c>
      <c r="AW43" s="52">
        <f t="shared" si="42"/>
        <v>7.6910580921851981</v>
      </c>
      <c r="AX43" s="52">
        <f t="shared" si="43"/>
        <v>6.729675830662047</v>
      </c>
      <c r="AY43" s="54"/>
      <c r="AZ43" s="52">
        <f t="shared" si="5"/>
        <v>0</v>
      </c>
      <c r="BA43" s="52">
        <f t="shared" si="6"/>
        <v>0</v>
      </c>
      <c r="BB43" s="52">
        <f t="shared" si="7"/>
        <v>0</v>
      </c>
      <c r="BC43" s="52">
        <f t="shared" si="8"/>
        <v>0</v>
      </c>
    </row>
    <row r="44" spans="1:55" x14ac:dyDescent="0.2">
      <c r="A44" s="54"/>
      <c r="B44" s="52"/>
      <c r="C44" s="52"/>
      <c r="D44" s="52"/>
      <c r="E44" s="52"/>
      <c r="F44" s="54"/>
      <c r="G44" s="52"/>
      <c r="H44" s="52"/>
      <c r="I44" s="52"/>
      <c r="J44" s="52"/>
      <c r="K44" s="54"/>
      <c r="L44" s="52"/>
      <c r="M44" s="52"/>
      <c r="N44" s="52"/>
      <c r="O44" s="52"/>
      <c r="P44" s="54">
        <v>400000</v>
      </c>
      <c r="Q44" s="52">
        <f t="shared" si="0"/>
        <v>2.2497132687388173</v>
      </c>
      <c r="R44" s="52">
        <f t="shared" si="1"/>
        <v>2.0247419418649355</v>
      </c>
      <c r="S44" s="52">
        <f t="shared" si="2"/>
        <v>1.799770614991054</v>
      </c>
      <c r="T44" s="52">
        <f t="shared" si="3"/>
        <v>1.574799288117172</v>
      </c>
      <c r="U44" s="54">
        <v>150000</v>
      </c>
      <c r="V44" s="52">
        <f>IF(OR('RoRo Cargo'!$B$29="Phase 3*",'RoRo Cargo'!$B$29="Phase 2*",'RoRo Cargo'!$B$29="Phase 1*",'RoRo Cargo'!$B$29="Phase 0*"),IF($U44&gt;=17000,a_RRC2*17000^(-c_RRC)*(1-(0/1000*($U44-1000))),IF($U44&lt;1000,0,IF($U44&lt;=2000,(a_RRC2*$U44^(-c_RRC))*(1-(0/1000*($U44-1000))),(a_RRC2*$U44^(-c_RRC))*(1-0)))),IF($U44&lt;1000,0,IF($U44&lt;=2000,(a_RRC*$U44^(-c_RRC))*(1-(0/1000*($U44-1000))),(a_RRC*$U44^(-c_RRC))*(1-0))))</f>
        <v>3.7156024512222721</v>
      </c>
      <c r="W44" s="52">
        <f>IF(OR('RoRo Cargo'!$B$29="Phase 3*",'RoRo Cargo'!$B$29="Phase 2*",'RoRo Cargo'!$B$29="Phase 1*",'RoRo Cargo'!$B$29="Phase 0*"),IF($U44&gt;=17000,a_RRC2*17000^(-c_RRC)*(1-(0.05)),IF($U44&lt;1000,0,IF($U44&lt;=2000,(a_RRC2*$U44^(-c_RRC))*(1-(0.05/1000*($U44-1000))),(a_RRC2*$U44^(-c_RRC))*(1-0.05)))),IF($U44&lt;1000,0,IF($U44&lt;=2000,(a_RRC*$U44^(-c_RRC))*(1-(0.05/1000*($U44-1000))),(a_RRC*$U44^(-c_RRC))*(1-0.05))))</f>
        <v>3.5298223286611581</v>
      </c>
      <c r="X44" s="52">
        <f>IF(OR('RoRo Cargo'!$B$29="Phase 3*",'RoRo Cargo'!$B$29="Phase 2*",'RoRo Cargo'!$B$29="Phase 1*",'RoRo Cargo'!$B$29="Phase 0*"),IF($U44&gt;=17000,a_RRC2*17000^(-c_RRC)*(1-(0.2)),IF($U44&lt;1000,0,IF($U44&lt;=2000,(a_RRC2*$U44^(-c_RRC))*(1-(0.2/1000*($U44-1000))),(a_RRC2*$U44^(-c_RRC))*(1-0.2)))),IF($U44&lt;1000,0,IF($U44&lt;=2000,(a_RRC*$U44^(-c_RRC))*(1-(0.2/1000*($U44-1000))),(a_RRC*$U44^(-c_RRC))*(1-0.2))))</f>
        <v>2.9724819609778179</v>
      </c>
      <c r="Y44" s="52">
        <f>IF(OR('RoRo Cargo'!$B$29="Phase 3*",'RoRo Cargo'!$B$29="Phase 2*",'RoRo Cargo'!$B$29="Phase 1*",'RoRo Cargo'!$B$29="Phase 0*"),IF($U44&gt;=17000,a_RRC2*17000^(-c_RRC)*(1-(0.3)),IF($U44&lt;1000,0,IF($U44&lt;=2000,(a_RRC2*$U44^(-c_RRC))*(1-(0.3/1000*($U44-1000))),(a_RRC2*$U44^(-c_RRC))*(1-0.3)))),IF($U44&lt;1000,0,IF($U44&lt;=2000,(a_RRC*$U44^(-c_RRC))*(1-(0.3/1000*($U44-1000))),(a_RRC*$U44^(-c_RRC))*(1-0.3))))</f>
        <v>2.6009217158555904</v>
      </c>
      <c r="Z44" s="54">
        <v>150000</v>
      </c>
      <c r="AA44" s="52">
        <f>IF(OR(RoPax!$B$31="Phase 3*",RoPax!$B$31="Phase 2*",RoPax!$B$31="Phase 1*",RoPax!$B$31="Phase 0*"),IF($Z44&gt;=10000,a_RRP2*10000^(-c_RRP)*(1-0),IF($Z44&lt;250,0,IF($Z44&lt;=1000,(a_RRP2*$Z44^(-c_RRP))*(1-(0/750*($Z44-250))),(a_RRP2*$Z44^(-c_RRP))*(1-0)))),IF($Z44&lt;250,0,IF($Z44&lt;=1000,(a_RRP*$Z44^(-c_RRP))*(1-(0/750*($Z44-250))),(a_RRP*$Z44^(-c_RRP))*(1-0))))</f>
        <v>8.0208328164151794</v>
      </c>
      <c r="AB44" s="52">
        <f>IF(OR(RoPax!$B$31="Phase 3*",RoPax!$B$31="Phase 2*",RoPax!$B$31="Phase 1*",RoPax!$B$31="Phase 0*"),IF($Z44&gt;=10000,a_RRP2*10000^(-c_RRP)*(1-0.05),IF($Z44&lt;250,0,IF($Z44&lt;=1000,(a_RRP2*$Z44^(-c_RRP))*(1-(0.05/750*($Z44-250))),(a_RRP2*$Z44^(-c_RRP))*(1-0.05)))),IF($Z44&lt;250,0,IF($Z44&lt;=1000,(a_RRP*$Z44^(-c_RRP))*(1-(0.05/750*($Z44-250))),(a_RRP*$Z44^(-c_RRP))*(1-0.05))))</f>
        <v>7.6197911755944201</v>
      </c>
      <c r="AC44" s="52">
        <f>IF(OR(RoPax!$B$31="Phase 3*",RoPax!$B$31="Phase 2*",RoPax!$B$31="Phase 1*",RoPax!$B$31="Phase 0*"),IF($Z44&gt;=10000,a_RRP2*10000^(-c_RRP)*(1-0.2),IF($Z44&lt;250,0,IF($Z44&lt;=1000,(a_RRP2*$Z44^(-c_RRP))*(1-(0.2/750*($Z44-250))),(a_RRP2*$Z44^(-c_RRP))*(1-0.2)))),IF($Z44&lt;250,0,IF($Z44&lt;=1000,(a_RRP*$Z44^(-c_RRP))*(1-(0.2/750*($Z44-250))),(a_RRP*$Z44^(-c_RRP))*(1-0.2))))</f>
        <v>6.4166662531321439</v>
      </c>
      <c r="AD44" s="52">
        <f>IF(OR(RoPax!$B$31="Phase 3*",RoPax!$B$31="Phase 2*",RoPax!$B$31="Phase 1*",RoPax!$B$31="Phase 0*"),IF($Z44&gt;=10000,a_RRP2*10000^(-c_RRP)*(1-0.3),IF($Z44&lt;250,0,IF($Z44&lt;=1000,(a_RRP2*$Z44^(-c_RRP))*(1-(0.3/750*($Z44-250))),(a_RRP2*$Z44^(-c_RRP))*(1-0.3)))),IF($Z44&lt;250,0,IF($Z44&lt;=1000,(a_RRP*$Z44^(-c_RRP))*(1-(0.3/750*($Z44-250))),(a_RRP*$Z44^(-c_RRP))*(1-0.3))))</f>
        <v>5.6145829714906252</v>
      </c>
      <c r="AE44" s="54">
        <v>150000</v>
      </c>
      <c r="AF44" s="52">
        <f t="shared" si="21"/>
        <v>6.6125684476005606</v>
      </c>
      <c r="AG44" s="52">
        <f t="shared" si="22"/>
        <v>6.281940025220532</v>
      </c>
      <c r="AH44" s="52">
        <f t="shared" si="23"/>
        <v>5.6206831804604764</v>
      </c>
      <c r="AI44" s="52">
        <f t="shared" si="36"/>
        <v>4.6287979133203923</v>
      </c>
      <c r="AJ44" s="54">
        <v>150000</v>
      </c>
      <c r="AK44" s="52">
        <f t="shared" si="25"/>
        <v>2.8467938375562434</v>
      </c>
      <c r="AL44" s="52">
        <f t="shared" si="26"/>
        <v>2.7044541456784312</v>
      </c>
      <c r="AM44" s="52">
        <f t="shared" si="27"/>
        <v>2.4197747619228069</v>
      </c>
      <c r="AN44" s="52">
        <f t="shared" si="37"/>
        <v>1.9927556862893703</v>
      </c>
      <c r="AO44" s="54">
        <v>150000</v>
      </c>
      <c r="AP44" s="52">
        <f t="shared" si="29"/>
        <v>4.8856281413256548</v>
      </c>
      <c r="AQ44" s="52">
        <f t="shared" si="38"/>
        <v>4.3970653271930891</v>
      </c>
      <c r="AR44" s="52">
        <f t="shared" si="39"/>
        <v>3.9085025130605242</v>
      </c>
      <c r="AS44" s="52">
        <f t="shared" si="40"/>
        <v>3.419939698927958</v>
      </c>
      <c r="AT44" s="54">
        <v>150000</v>
      </c>
      <c r="AU44" s="52">
        <f t="shared" si="4"/>
        <v>7.9328427938170565</v>
      </c>
      <c r="AV44" s="52">
        <f t="shared" si="41"/>
        <v>7.1395585144353513</v>
      </c>
      <c r="AW44" s="52">
        <f t="shared" si="42"/>
        <v>6.3462742350536452</v>
      </c>
      <c r="AX44" s="52">
        <f t="shared" si="43"/>
        <v>5.5529899556719391</v>
      </c>
      <c r="AY44" s="54"/>
      <c r="AZ44" s="52">
        <f t="shared" si="5"/>
        <v>0</v>
      </c>
      <c r="BA44" s="52">
        <f t="shared" si="6"/>
        <v>0</v>
      </c>
      <c r="BB44" s="52">
        <f t="shared" si="7"/>
        <v>0</v>
      </c>
      <c r="BC44" s="52">
        <f t="shared" si="8"/>
        <v>0</v>
      </c>
    </row>
    <row r="45" spans="1:55" x14ac:dyDescent="0.2">
      <c r="A45" s="54"/>
      <c r="B45" s="52"/>
      <c r="C45" s="52"/>
      <c r="D45" s="52"/>
      <c r="E45" s="52"/>
      <c r="F45" s="54"/>
      <c r="G45" s="52"/>
      <c r="H45" s="52"/>
      <c r="I45" s="52"/>
      <c r="J45" s="52"/>
      <c r="K45" s="54"/>
      <c r="L45" s="52"/>
      <c r="M45" s="52"/>
      <c r="N45" s="52"/>
      <c r="O45" s="52"/>
      <c r="P45" s="54">
        <v>450000</v>
      </c>
      <c r="Q45" s="52">
        <f t="shared" si="0"/>
        <v>2.1240500148407353</v>
      </c>
      <c r="R45" s="52">
        <f t="shared" si="1"/>
        <v>1.9116450133566618</v>
      </c>
      <c r="S45" s="52">
        <f t="shared" si="2"/>
        <v>1.6992400118725883</v>
      </c>
      <c r="T45" s="52">
        <f t="shared" si="3"/>
        <v>1.4868350103885146</v>
      </c>
      <c r="U45" s="54">
        <v>200000</v>
      </c>
      <c r="V45" s="52">
        <f>IF(OR('RoRo Cargo'!$B$29="Phase 3*",'RoRo Cargo'!$B$29="Phase 2*",'RoRo Cargo'!$B$29="Phase 1*",'RoRo Cargo'!$B$29="Phase 0*"),IF($U45&gt;=17000,a_RRC2*17000^(-c_RRC)*(1-(0/1000*($U45-1000))),IF($U45&lt;1000,0,IF($U45&lt;=2000,(a_RRC2*$U45^(-c_RRC))*(1-(0/1000*($U45-1000))),(a_RRC2*$U45^(-c_RRC))*(1-0)))),IF($U45&lt;1000,0,IF($U45&lt;=2000,(a_RRC*$U45^(-c_RRC))*(1-(0/1000*($U45-1000))),(a_RRC*$U45^(-c_RRC))*(1-0))))</f>
        <v>3.219658056104663</v>
      </c>
      <c r="W45" s="52">
        <f>IF(OR('RoRo Cargo'!$B$29="Phase 3*",'RoRo Cargo'!$B$29="Phase 2*",'RoRo Cargo'!$B$29="Phase 1*",'RoRo Cargo'!$B$29="Phase 0*"),IF($U45&gt;=17000,a_RRC2*17000^(-c_RRC)*(1-(0.05)),IF($U45&lt;1000,0,IF($U45&lt;=2000,(a_RRC2*$U45^(-c_RRC))*(1-(0.05/1000*($U45-1000))),(a_RRC2*$U45^(-c_RRC))*(1-0.05)))),IF($U45&lt;1000,0,IF($U45&lt;=2000,(a_RRC*$U45^(-c_RRC))*(1-(0.05/1000*($U45-1000))),(a_RRC*$U45^(-c_RRC))*(1-0.05))))</f>
        <v>3.0586751532994296</v>
      </c>
      <c r="X45" s="52">
        <f>IF(OR('RoRo Cargo'!$B$29="Phase 3*",'RoRo Cargo'!$B$29="Phase 2*",'RoRo Cargo'!$B$29="Phase 1*",'RoRo Cargo'!$B$29="Phase 0*"),IF($U45&gt;=17000,a_RRC2*17000^(-c_RRC)*(1-(0.2)),IF($U45&lt;1000,0,IF($U45&lt;=2000,(a_RRC2*$U45^(-c_RRC))*(1-(0.2/1000*($U45-1000))),(a_RRC2*$U45^(-c_RRC))*(1-0.2)))),IF($U45&lt;1000,0,IF($U45&lt;=2000,(a_RRC*$U45^(-c_RRC))*(1-(0.2/1000*($U45-1000))),(a_RRC*$U45^(-c_RRC))*(1-0.2))))</f>
        <v>2.5757264448837307</v>
      </c>
      <c r="Y45" s="52">
        <f>IF(OR('RoRo Cargo'!$B$29="Phase 3*",'RoRo Cargo'!$B$29="Phase 2*",'RoRo Cargo'!$B$29="Phase 1*",'RoRo Cargo'!$B$29="Phase 0*"),IF($U45&gt;=17000,a_RRC2*17000^(-c_RRC)*(1-(0.3)),IF($U45&lt;1000,0,IF($U45&lt;=2000,(a_RRC2*$U45^(-c_RRC))*(1-(0.3/1000*($U45-1000))),(a_RRC2*$U45^(-c_RRC))*(1-0.3)))),IF($U45&lt;1000,0,IF($U45&lt;=2000,(a_RRC*$U45^(-c_RRC))*(1-(0.3/1000*($U45-1000))),(a_RRC*$U45^(-c_RRC))*(1-0.3))))</f>
        <v>2.2537606392732639</v>
      </c>
      <c r="Z45" s="54">
        <v>200000</v>
      </c>
      <c r="AA45" s="52">
        <f>IF(OR(RoPax!$B$31="Phase 3*",RoPax!$B$31="Phase 2*",RoPax!$B$31="Phase 1*",RoPax!$B$31="Phase 0*"),IF($Z45&gt;=10000,a_RRP2*10000^(-c_RRP)*(1-0),IF($Z45&lt;250,0,IF($Z45&lt;=1000,(a_RRP2*$Z45^(-c_RRP))*(1-(0/750*($Z45-250))),(a_RRP2*$Z45^(-c_RRP))*(1-0)))),IF($Z45&lt;250,0,IF($Z45&lt;=1000,(a_RRP*$Z45^(-c_RRP))*(1-(0/750*($Z45-250))),(a_RRP*$Z45^(-c_RRP))*(1-0))))</f>
        <v>7.1881611596958184</v>
      </c>
      <c r="AB45" s="52">
        <f>IF(OR(RoPax!$B$31="Phase 3*",RoPax!$B$31="Phase 2*",RoPax!$B$31="Phase 1*",RoPax!$B$31="Phase 0*"),IF($Z45&gt;=10000,a_RRP2*10000^(-c_RRP)*(1-0.05),IF($Z45&lt;250,0,IF($Z45&lt;=1000,(a_RRP2*$Z45^(-c_RRP))*(1-(0.05/750*($Z45-250))),(a_RRP2*$Z45^(-c_RRP))*(1-0.05)))),IF($Z45&lt;250,0,IF($Z45&lt;=1000,(a_RRP*$Z45^(-c_RRP))*(1-(0.05/750*($Z45-250))),(a_RRP*$Z45^(-c_RRP))*(1-0.05))))</f>
        <v>6.828753101711027</v>
      </c>
      <c r="AC45" s="52">
        <f>IF(OR(RoPax!$B$31="Phase 3*",RoPax!$B$31="Phase 2*",RoPax!$B$31="Phase 1*",RoPax!$B$31="Phase 0*"),IF($Z45&gt;=10000,a_RRP2*10000^(-c_RRP)*(1-0.2),IF($Z45&lt;250,0,IF($Z45&lt;=1000,(a_RRP2*$Z45^(-c_RRP))*(1-(0.2/750*($Z45-250))),(a_RRP2*$Z45^(-c_RRP))*(1-0.2)))),IF($Z45&lt;250,0,IF($Z45&lt;=1000,(a_RRP*$Z45^(-c_RRP))*(1-(0.2/750*($Z45-250))),(a_RRP*$Z45^(-c_RRP))*(1-0.2))))</f>
        <v>5.7505289277566547</v>
      </c>
      <c r="AD45" s="52">
        <f>IF(OR(RoPax!$B$31="Phase 3*",RoPax!$B$31="Phase 2*",RoPax!$B$31="Phase 1*",RoPax!$B$31="Phase 0*"),IF($Z45&gt;=10000,a_RRP2*10000^(-c_RRP)*(1-0.3),IF($Z45&lt;250,0,IF($Z45&lt;=1000,(a_RRP2*$Z45^(-c_RRP))*(1-(0.3/750*($Z45-250))),(a_RRP2*$Z45^(-c_RRP))*(1-0.3)))),IF($Z45&lt;250,0,IF($Z45&lt;=1000,(a_RRP*$Z45^(-c_RRP))*(1-(0.3/750*($Z45-250))),(a_RRP*$Z45^(-c_RRP))*(1-0.3))))</f>
        <v>5.0317128117870729</v>
      </c>
      <c r="AE45" s="54">
        <v>200000</v>
      </c>
      <c r="AF45" s="52">
        <f t="shared" si="21"/>
        <v>5.7746283089502706</v>
      </c>
      <c r="AG45" s="52">
        <f t="shared" si="22"/>
        <v>5.4858968935027566</v>
      </c>
      <c r="AH45" s="52">
        <f t="shared" si="23"/>
        <v>4.9084340626077303</v>
      </c>
      <c r="AI45" s="52">
        <f t="shared" si="36"/>
        <v>4.0422398162651891</v>
      </c>
      <c r="AJ45" s="54">
        <v>200000</v>
      </c>
      <c r="AK45" s="52">
        <f t="shared" si="25"/>
        <v>2.4860500748483876</v>
      </c>
      <c r="AL45" s="52">
        <f t="shared" si="26"/>
        <v>2.3617475711059681</v>
      </c>
      <c r="AM45" s="52">
        <f t="shared" si="27"/>
        <v>2.1131425636211292</v>
      </c>
      <c r="AN45" s="52">
        <f t="shared" si="37"/>
        <v>1.7402350523938712</v>
      </c>
      <c r="AO45" s="54">
        <v>200000</v>
      </c>
      <c r="AP45" s="52">
        <f t="shared" si="29"/>
        <v>4.284975515055633</v>
      </c>
      <c r="AQ45" s="52">
        <f t="shared" si="38"/>
        <v>3.8564779635500699</v>
      </c>
      <c r="AR45" s="52">
        <f t="shared" si="39"/>
        <v>3.4279804120445068</v>
      </c>
      <c r="AS45" s="52">
        <f t="shared" si="40"/>
        <v>2.9994828605389428</v>
      </c>
      <c r="AT45" s="54">
        <v>200000</v>
      </c>
      <c r="AU45" s="52">
        <f t="shared" si="4"/>
        <v>6.9216221371582938</v>
      </c>
      <c r="AV45" s="52">
        <f t="shared" si="41"/>
        <v>6.2294599234424641</v>
      </c>
      <c r="AW45" s="52">
        <f t="shared" si="42"/>
        <v>5.5372977097266354</v>
      </c>
      <c r="AX45" s="52">
        <f t="shared" si="43"/>
        <v>4.8451354960108057</v>
      </c>
    </row>
    <row r="46" spans="1:55" x14ac:dyDescent="0.2">
      <c r="A46" s="54"/>
      <c r="B46" s="52"/>
      <c r="C46" s="52"/>
      <c r="D46" s="52"/>
      <c r="E46" s="52"/>
      <c r="F46" s="54"/>
      <c r="G46" s="52"/>
      <c r="H46" s="52"/>
      <c r="I46" s="52"/>
      <c r="J46" s="52"/>
      <c r="K46" s="54"/>
      <c r="L46" s="52"/>
      <c r="M46" s="52"/>
      <c r="N46" s="52"/>
      <c r="O46" s="52"/>
      <c r="P46" s="54">
        <v>500000</v>
      </c>
      <c r="Q46" s="52">
        <f t="shared" si="0"/>
        <v>2.0176000659951394</v>
      </c>
      <c r="R46" s="52">
        <f t="shared" si="1"/>
        <v>1.8158400593956254</v>
      </c>
      <c r="S46" s="52">
        <f t="shared" si="2"/>
        <v>1.6140800527961117</v>
      </c>
      <c r="T46" s="52">
        <f t="shared" si="3"/>
        <v>1.4123200461965975</v>
      </c>
      <c r="U46" s="54">
        <v>250000</v>
      </c>
      <c r="V46" s="52">
        <f>IF(OR('RoRo Cargo'!$B$29="Phase 3*",'RoRo Cargo'!$B$29="Phase 2*",'RoRo Cargo'!$B$29="Phase 1*",'RoRo Cargo'!$B$29="Phase 0*"),IF($U46&gt;=17000,a_RRC2*17000^(-c_RRC)*(1-(0/1000*($U46-1000))),IF($U46&lt;1000,0,IF($U46&lt;=2000,(a_RRC2*$U46^(-c_RRC))*(1-(0/1000*($U46-1000))),(a_RRC2*$U46^(-c_RRC))*(1-0)))),IF($U46&lt;1000,0,IF($U46&lt;=2000,(a_RRC*$U46^(-c_RRC))*(1-(0/1000*($U46-1000))),(a_RRC*$U46^(-c_RRC))*(1-0))))</f>
        <v>2.881035193082488</v>
      </c>
      <c r="W46" s="52">
        <f>IF(OR('RoRo Cargo'!$B$29="Phase 3*",'RoRo Cargo'!$B$29="Phase 2*",'RoRo Cargo'!$B$29="Phase 1*",'RoRo Cargo'!$B$29="Phase 0*"),IF($U46&gt;=17000,a_RRC2*17000^(-c_RRC)*(1-(0.05)),IF($U46&lt;1000,0,IF($U46&lt;=2000,(a_RRC2*$U46^(-c_RRC))*(1-(0.05/1000*($U46-1000))),(a_RRC2*$U46^(-c_RRC))*(1-0.05)))),IF($U46&lt;1000,0,IF($U46&lt;=2000,(a_RRC*$U46^(-c_RRC))*(1-(0.05/1000*($U46-1000))),(a_RRC*$U46^(-c_RRC))*(1-0.05))))</f>
        <v>2.7369834334283634</v>
      </c>
      <c r="X46" s="52">
        <f>IF(OR('RoRo Cargo'!$B$29="Phase 3*",'RoRo Cargo'!$B$29="Phase 2*",'RoRo Cargo'!$B$29="Phase 1*",'RoRo Cargo'!$B$29="Phase 0*"),IF($U46&gt;=17000,a_RRC2*17000^(-c_RRC)*(1-(0.2)),IF($U46&lt;1000,0,IF($U46&lt;=2000,(a_RRC2*$U46^(-c_RRC))*(1-(0.2/1000*($U46-1000))),(a_RRC2*$U46^(-c_RRC))*(1-0.2)))),IF($U46&lt;1000,0,IF($U46&lt;=2000,(a_RRC*$U46^(-c_RRC))*(1-(0.2/1000*($U46-1000))),(a_RRC*$U46^(-c_RRC))*(1-0.2))))</f>
        <v>2.3048281544659903</v>
      </c>
      <c r="Y46" s="52">
        <f>IF(OR('RoRo Cargo'!$B$29="Phase 3*",'RoRo Cargo'!$B$29="Phase 2*",'RoRo Cargo'!$B$29="Phase 1*",'RoRo Cargo'!$B$29="Phase 0*"),IF($U46&gt;=17000,a_RRC2*17000^(-c_RRC)*(1-(0.3)),IF($U46&lt;1000,0,IF($U46&lt;=2000,(a_RRC2*$U46^(-c_RRC))*(1-(0.3/1000*($U46-1000))),(a_RRC2*$U46^(-c_RRC))*(1-0.3)))),IF($U46&lt;1000,0,IF($U46&lt;=2000,(a_RRC*$U46^(-c_RRC))*(1-(0.3/1000*($U46-1000))),(a_RRC*$U46^(-c_RRC))*(1-0.3))))</f>
        <v>2.0167246351577415</v>
      </c>
      <c r="Z46" s="54">
        <v>250000</v>
      </c>
      <c r="AA46" s="52">
        <f>IF(OR(RoPax!$B$31="Phase 3*",RoPax!$B$31="Phase 2*",RoPax!$B$31="Phase 1*",RoPax!$B$31="Phase 0*"),IF($Z46&gt;=10000,a_RRP2*10000^(-c_RRP)*(1-0),IF($Z46&lt;250,0,IF($Z46&lt;=1000,(a_RRP2*$Z46^(-c_RRP))*(1-(0/750*($Z46-250))),(a_RRP2*$Z46^(-c_RRP))*(1-0)))),IF($Z46&lt;250,0,IF($Z46&lt;=1000,(a_RRP*$Z46^(-c_RRP))*(1-(0/750*($Z46-250))),(a_RRP*$Z46^(-c_RRP))*(1-0))))</f>
        <v>6.6022975116199252</v>
      </c>
      <c r="AB46" s="52">
        <f>IF(OR(RoPax!$B$31="Phase 3*",RoPax!$B$31="Phase 2*",RoPax!$B$31="Phase 1*",RoPax!$B$31="Phase 0*"),IF($Z46&gt;=10000,a_RRP2*10000^(-c_RRP)*(1-0.05),IF($Z46&lt;250,0,IF($Z46&lt;=1000,(a_RRP2*$Z46^(-c_RRP))*(1-(0.05/750*($Z46-250))),(a_RRP2*$Z46^(-c_RRP))*(1-0.05)))),IF($Z46&lt;250,0,IF($Z46&lt;=1000,(a_RRP*$Z46^(-c_RRP))*(1-(0.05/750*($Z46-250))),(a_RRP*$Z46^(-c_RRP))*(1-0.05))))</f>
        <v>6.272182636038929</v>
      </c>
      <c r="AC46" s="52">
        <f>IF(OR(RoPax!$B$31="Phase 3*",RoPax!$B$31="Phase 2*",RoPax!$B$31="Phase 1*",RoPax!$B$31="Phase 0*"),IF($Z46&gt;=10000,a_RRP2*10000^(-c_RRP)*(1-0.2),IF($Z46&lt;250,0,IF($Z46&lt;=1000,(a_RRP2*$Z46^(-c_RRP))*(1-(0.2/750*($Z46-250))),(a_RRP2*$Z46^(-c_RRP))*(1-0.2)))),IF($Z46&lt;250,0,IF($Z46&lt;=1000,(a_RRP*$Z46^(-c_RRP))*(1-(0.2/750*($Z46-250))),(a_RRP*$Z46^(-c_RRP))*(1-0.2))))</f>
        <v>5.2818380092959405</v>
      </c>
      <c r="AD46" s="52">
        <f>IF(OR(RoPax!$B$31="Phase 3*",RoPax!$B$31="Phase 2*",RoPax!$B$31="Phase 1*",RoPax!$B$31="Phase 0*"),IF($Z46&gt;=10000,a_RRP2*10000^(-c_RRP)*(1-0.3),IF($Z46&lt;250,0,IF($Z46&lt;=1000,(a_RRP2*$Z46^(-c_RRP))*(1-(0.3/750*($Z46-250))),(a_RRP2*$Z46^(-c_RRP))*(1-0.3)))),IF($Z46&lt;250,0,IF($Z46&lt;=1000,(a_RRP*$Z46^(-c_RRP))*(1-(0.3/750*($Z46-250))),(a_RRP*$Z46^(-c_RRP))*(1-0.3))))</f>
        <v>4.6216082581339473</v>
      </c>
      <c r="AE46" s="54">
        <v>250000</v>
      </c>
      <c r="AF46" s="52">
        <f t="shared" si="21"/>
        <v>5.1985164124447936</v>
      </c>
      <c r="AG46" s="52">
        <f t="shared" si="22"/>
        <v>4.9385905918225532</v>
      </c>
      <c r="AH46" s="52">
        <f t="shared" si="23"/>
        <v>4.4187389505780743</v>
      </c>
      <c r="AI46" s="52">
        <f t="shared" si="36"/>
        <v>3.6389614887113551</v>
      </c>
      <c r="AJ46" s="54">
        <v>250000</v>
      </c>
      <c r="AK46" s="52">
        <f t="shared" si="25"/>
        <v>2.2380266615996751</v>
      </c>
      <c r="AL46" s="52">
        <f t="shared" si="26"/>
        <v>2.126125328519691</v>
      </c>
      <c r="AM46" s="52">
        <f t="shared" si="27"/>
        <v>1.9023226623597238</v>
      </c>
      <c r="AN46" s="52">
        <f t="shared" si="37"/>
        <v>1.5666186631197725</v>
      </c>
      <c r="AO46" s="54">
        <v>250000</v>
      </c>
      <c r="AP46" s="52">
        <f t="shared" si="29"/>
        <v>3.8704136147538275</v>
      </c>
      <c r="AQ46" s="52">
        <f t="shared" si="38"/>
        <v>3.483372253278445</v>
      </c>
      <c r="AR46" s="52">
        <f t="shared" si="39"/>
        <v>3.0963308918030621</v>
      </c>
      <c r="AS46" s="52">
        <f t="shared" si="40"/>
        <v>2.7092895303276792</v>
      </c>
      <c r="AT46" s="54">
        <v>250000</v>
      </c>
      <c r="AU46" s="52">
        <f t="shared" si="4"/>
        <v>6.2269093095742463</v>
      </c>
      <c r="AV46" s="52">
        <f t="shared" si="41"/>
        <v>5.6042183786168218</v>
      </c>
      <c r="AW46" s="52">
        <f t="shared" si="42"/>
        <v>4.9815274476593974</v>
      </c>
      <c r="AX46" s="52">
        <f t="shared" si="43"/>
        <v>4.358836516701972</v>
      </c>
    </row>
    <row r="47" spans="1:55" x14ac:dyDescent="0.2">
      <c r="A47" s="54"/>
      <c r="B47" s="52"/>
      <c r="C47" s="52"/>
      <c r="D47" s="52"/>
      <c r="E47" s="52"/>
      <c r="F47" s="54"/>
      <c r="G47" s="52"/>
      <c r="H47" s="52"/>
      <c r="I47" s="52"/>
      <c r="J47" s="52"/>
      <c r="K47" s="54"/>
      <c r="L47" s="52"/>
      <c r="M47" s="52"/>
      <c r="N47" s="52"/>
      <c r="O47" s="52"/>
      <c r="P47" s="54">
        <v>550000</v>
      </c>
      <c r="Q47" s="52">
        <f t="shared" si="0"/>
        <v>1.9259076270522986</v>
      </c>
      <c r="R47" s="52">
        <f t="shared" si="1"/>
        <v>1.7333168643470687</v>
      </c>
      <c r="S47" s="52">
        <f t="shared" si="2"/>
        <v>1.540726101641839</v>
      </c>
      <c r="T47" s="52">
        <f t="shared" si="3"/>
        <v>1.3481353389366089</v>
      </c>
      <c r="U47" s="54">
        <v>300000</v>
      </c>
      <c r="V47" s="52">
        <f>IF(OR('RoRo Cargo'!$B$29="Phase 3*",'RoRo Cargo'!$B$29="Phase 2*",'RoRo Cargo'!$B$29="Phase 1*",'RoRo Cargo'!$B$29="Phase 0*"),IF($U47&gt;=17000,a_RRC2*17000^(-c_RRC)*(1-(0/1000*($U47-1000))),IF($U47&lt;1000,0,IF($U47&lt;=2000,(a_RRC2*$U47^(-c_RRC))*(1-(0/1000*($U47-1000))),(a_RRC2*$U47^(-c_RRC))*(1-0)))),IF($U47&lt;1000,0,IF($U47&lt;=2000,(a_RRC*$U47^(-c_RRC))*(1-(0/1000*($U47-1000))),(a_RRC*$U47^(-c_RRC))*(1-0))))</f>
        <v>2.6309724647953661</v>
      </c>
      <c r="W47" s="52">
        <f>IF(OR('RoRo Cargo'!$B$29="Phase 3*",'RoRo Cargo'!$B$29="Phase 2*",'RoRo Cargo'!$B$29="Phase 1*",'RoRo Cargo'!$B$29="Phase 0*"),IF($U47&gt;=17000,a_RRC2*17000^(-c_RRC)*(1-(0.05)),IF($U47&lt;1000,0,IF($U47&lt;=2000,(a_RRC2*$U47^(-c_RRC))*(1-(0.05/1000*($U47-1000))),(a_RRC2*$U47^(-c_RRC))*(1-0.05)))),IF($U47&lt;1000,0,IF($U47&lt;=2000,(a_RRC*$U47^(-c_RRC))*(1-(0.05/1000*($U47-1000))),(a_RRC*$U47^(-c_RRC))*(1-0.05))))</f>
        <v>2.4994238415555978</v>
      </c>
      <c r="X47" s="52">
        <f>IF(OR('RoRo Cargo'!$B$29="Phase 3*",'RoRo Cargo'!$B$29="Phase 2*",'RoRo Cargo'!$B$29="Phase 1*",'RoRo Cargo'!$B$29="Phase 0*"),IF($U47&gt;=17000,a_RRC2*17000^(-c_RRC)*(1-(0.2)),IF($U47&lt;1000,0,IF($U47&lt;=2000,(a_RRC2*$U47^(-c_RRC))*(1-(0.2/1000*($U47-1000))),(a_RRC2*$U47^(-c_RRC))*(1-0.2)))),IF($U47&lt;1000,0,IF($U47&lt;=2000,(a_RRC*$U47^(-c_RRC))*(1-(0.2/1000*($U47-1000))),(a_RRC*$U47^(-c_RRC))*(1-0.2))))</f>
        <v>2.1047779718362931</v>
      </c>
      <c r="Y47" s="52">
        <f>IF(OR('RoRo Cargo'!$B$29="Phase 3*",'RoRo Cargo'!$B$29="Phase 2*",'RoRo Cargo'!$B$29="Phase 1*",'RoRo Cargo'!$B$29="Phase 0*"),IF($U47&gt;=17000,a_RRC2*17000^(-c_RRC)*(1-(0.3)),IF($U47&lt;1000,0,IF($U47&lt;=2000,(a_RRC2*$U47^(-c_RRC))*(1-(0.3/1000*($U47-1000))),(a_RRC2*$U47^(-c_RRC))*(1-0.3)))),IF($U47&lt;1000,0,IF($U47&lt;=2000,(a_RRC*$U47^(-c_RRC))*(1-(0.3/1000*($U47-1000))),(a_RRC*$U47^(-c_RRC))*(1-0.3))))</f>
        <v>1.8416807253567562</v>
      </c>
      <c r="Z47" s="54">
        <v>300000</v>
      </c>
      <c r="AA47" s="52">
        <f>IF(OR(RoPax!$B$31="Phase 3*",RoPax!$B$31="Phase 2*",RoPax!$B$31="Phase 1*",RoPax!$B$31="Phase 0*"),IF($Z47&gt;=10000,a_RRP2*10000^(-c_RRP)*(1-0),IF($Z47&lt;250,0,IF($Z47&lt;=1000,(a_RRP2*$Z47^(-c_RRP))*(1-(0/750*($Z47-250))),(a_RRP2*$Z47^(-c_RRP))*(1-0)))),IF($Z47&lt;250,0,IF($Z47&lt;=1000,(a_RRP*$Z47^(-c_RRP))*(1-(0/750*($Z47-250))),(a_RRP*$Z47^(-c_RRP))*(1-0))))</f>
        <v>6.1592387055070192</v>
      </c>
      <c r="AB47" s="52">
        <f>IF(OR(RoPax!$B$31="Phase 3*",RoPax!$B$31="Phase 2*",RoPax!$B$31="Phase 1*",RoPax!$B$31="Phase 0*"),IF($Z47&gt;=10000,a_RRP2*10000^(-c_RRP)*(1-0.05),IF($Z47&lt;250,0,IF($Z47&lt;=1000,(a_RRP2*$Z47^(-c_RRP))*(1-(0.05/750*($Z47-250))),(a_RRP2*$Z47^(-c_RRP))*(1-0.05)))),IF($Z47&lt;250,0,IF($Z47&lt;=1000,(a_RRP*$Z47^(-c_RRP))*(1-(0.05/750*($Z47-250))),(a_RRP*$Z47^(-c_RRP))*(1-0.05))))</f>
        <v>5.8512767702316681</v>
      </c>
      <c r="AC47" s="52">
        <f>IF(OR(RoPax!$B$31="Phase 3*",RoPax!$B$31="Phase 2*",RoPax!$B$31="Phase 1*",RoPax!$B$31="Phase 0*"),IF($Z47&gt;=10000,a_RRP2*10000^(-c_RRP)*(1-0.2),IF($Z47&lt;250,0,IF($Z47&lt;=1000,(a_RRP2*$Z47^(-c_RRP))*(1-(0.2/750*($Z47-250))),(a_RRP2*$Z47^(-c_RRP))*(1-0.2)))),IF($Z47&lt;250,0,IF($Z47&lt;=1000,(a_RRP*$Z47^(-c_RRP))*(1-(0.2/750*($Z47-250))),(a_RRP*$Z47^(-c_RRP))*(1-0.2))))</f>
        <v>4.9273909644056157</v>
      </c>
      <c r="AD47" s="52">
        <f>IF(OR(RoPax!$B$31="Phase 3*",RoPax!$B$31="Phase 2*",RoPax!$B$31="Phase 1*",RoPax!$B$31="Phase 0*"),IF($Z47&gt;=10000,a_RRP2*10000^(-c_RRP)*(1-0.3),IF($Z47&lt;250,0,IF($Z47&lt;=1000,(a_RRP2*$Z47^(-c_RRP))*(1-(0.3/750*($Z47-250))),(a_RRP2*$Z47^(-c_RRP))*(1-0.3)))),IF($Z47&lt;250,0,IF($Z47&lt;=1000,(a_RRP*$Z47^(-c_RRP))*(1-(0.3/750*($Z47-250))),(a_RRP*$Z47^(-c_RRP))*(1-0.3))))</f>
        <v>4.3114670938549136</v>
      </c>
      <c r="AE47" s="54">
        <v>300000</v>
      </c>
      <c r="AF47" s="52">
        <f t="shared" si="21"/>
        <v>4.7707323534394579</v>
      </c>
      <c r="AG47" s="52">
        <f t="shared" si="22"/>
        <v>4.5321957357674849</v>
      </c>
      <c r="AH47" s="52">
        <f t="shared" si="23"/>
        <v>4.0551225004235389</v>
      </c>
      <c r="AI47" s="52">
        <f t="shared" si="36"/>
        <v>3.3395126474076204</v>
      </c>
      <c r="AJ47" s="54">
        <v>300000</v>
      </c>
      <c r="AK47" s="52">
        <f t="shared" si="25"/>
        <v>2.0538602468954035</v>
      </c>
      <c r="AL47" s="52">
        <f t="shared" si="26"/>
        <v>1.9511672345506332</v>
      </c>
      <c r="AM47" s="52">
        <f t="shared" si="27"/>
        <v>1.745781209861093</v>
      </c>
      <c r="AN47" s="52">
        <f t="shared" si="37"/>
        <v>1.4377021728267823</v>
      </c>
      <c r="AO47" s="54">
        <v>300000</v>
      </c>
      <c r="AP47" s="52">
        <f t="shared" si="29"/>
        <v>3.5616458257315093</v>
      </c>
      <c r="AQ47" s="52">
        <f t="shared" si="38"/>
        <v>3.2054812431583586</v>
      </c>
      <c r="AR47" s="52">
        <f t="shared" si="39"/>
        <v>2.8493166605852078</v>
      </c>
      <c r="AS47" s="52">
        <f t="shared" si="40"/>
        <v>2.4931520780120562</v>
      </c>
      <c r="AT47" s="54">
        <v>300000</v>
      </c>
      <c r="AU47" s="52">
        <f t="shared" si="4"/>
        <v>5.7113743918353563</v>
      </c>
      <c r="AV47" s="52">
        <f t="shared" si="41"/>
        <v>5.1402369526518212</v>
      </c>
      <c r="AW47" s="52">
        <f t="shared" si="42"/>
        <v>4.5690995134682852</v>
      </c>
      <c r="AX47" s="52">
        <f t="shared" si="43"/>
        <v>3.9979620742847493</v>
      </c>
    </row>
    <row r="48" spans="1:55" x14ac:dyDescent="0.2">
      <c r="A48" s="54"/>
      <c r="B48" s="52"/>
      <c r="C48" s="52"/>
      <c r="D48" s="52"/>
      <c r="E48" s="52"/>
      <c r="F48" s="54"/>
      <c r="G48" s="52"/>
      <c r="H48" s="52"/>
      <c r="I48" s="52"/>
      <c r="J48" s="52"/>
      <c r="K48" s="54"/>
      <c r="L48" s="52"/>
      <c r="M48" s="52"/>
      <c r="N48" s="52"/>
      <c r="O48" s="52"/>
      <c r="P48" s="54">
        <v>600000</v>
      </c>
      <c r="Q48" s="52">
        <f t="shared" si="0"/>
        <v>1.8458424748818196</v>
      </c>
      <c r="R48" s="52">
        <f t="shared" si="1"/>
        <v>1.6612582273936376</v>
      </c>
      <c r="S48" s="52">
        <f t="shared" si="2"/>
        <v>1.4766739799054558</v>
      </c>
      <c r="T48" s="52">
        <f t="shared" si="3"/>
        <v>1.2920897324172738</v>
      </c>
      <c r="U48" s="54">
        <v>350000</v>
      </c>
      <c r="V48" s="52">
        <f>IF(OR('RoRo Cargo'!$B$29="Phase 3*",'RoRo Cargo'!$B$29="Phase 2*",'RoRo Cargo'!$B$29="Phase 1*",'RoRo Cargo'!$B$29="Phase 0*"),IF($U48&gt;=17000,a_RRC2*17000^(-c_RRC)*(1-(0/1000*($U48-1000))),IF($U48&lt;1000,0,IF($U48&lt;=2000,(a_RRC2*$U48^(-c_RRC))*(1-(0/1000*($U48-1000))),(a_RRC2*$U48^(-c_RRC))*(1-0)))),IF($U48&lt;1000,0,IF($U48&lt;=2000,(a_RRC*$U48^(-c_RRC))*(1-(0/1000*($U48-1000))),(a_RRC*$U48^(-c_RRC))*(1-0))))</f>
        <v>2.4365582682974742</v>
      </c>
      <c r="W48" s="52">
        <f>IF(OR('RoRo Cargo'!$B$29="Phase 3*",'RoRo Cargo'!$B$29="Phase 2*",'RoRo Cargo'!$B$29="Phase 1*",'RoRo Cargo'!$B$29="Phase 0*"),IF($U48&gt;=17000,a_RRC2*17000^(-c_RRC)*(1-(0.05)),IF($U48&lt;1000,0,IF($U48&lt;=2000,(a_RRC2*$U48^(-c_RRC))*(1-(0.05/1000*($U48-1000))),(a_RRC2*$U48^(-c_RRC))*(1-0.05)))),IF($U48&lt;1000,0,IF($U48&lt;=2000,(a_RRC*$U48^(-c_RRC))*(1-(0.05/1000*($U48-1000))),(a_RRC*$U48^(-c_RRC))*(1-0.05))))</f>
        <v>2.3147303548826006</v>
      </c>
      <c r="X48" s="52">
        <f>IF(OR('RoRo Cargo'!$B$29="Phase 3*",'RoRo Cargo'!$B$29="Phase 2*",'RoRo Cargo'!$B$29="Phase 1*",'RoRo Cargo'!$B$29="Phase 0*"),IF($U48&gt;=17000,a_RRC2*17000^(-c_RRC)*(1-(0.2)),IF($U48&lt;1000,0,IF($U48&lt;=2000,(a_RRC2*$U48^(-c_RRC))*(1-(0.2/1000*($U48-1000))),(a_RRC2*$U48^(-c_RRC))*(1-0.2)))),IF($U48&lt;1000,0,IF($U48&lt;=2000,(a_RRC*$U48^(-c_RRC))*(1-(0.2/1000*($U48-1000))),(a_RRC*$U48^(-c_RRC))*(1-0.2))))</f>
        <v>1.9492466146379794</v>
      </c>
      <c r="Y48" s="52">
        <f>IF(OR('RoRo Cargo'!$B$29="Phase 3*",'RoRo Cargo'!$B$29="Phase 2*",'RoRo Cargo'!$B$29="Phase 1*",'RoRo Cargo'!$B$29="Phase 0*"),IF($U48&gt;=17000,a_RRC2*17000^(-c_RRC)*(1-(0.3)),IF($U48&lt;1000,0,IF($U48&lt;=2000,(a_RRC2*$U48^(-c_RRC))*(1-(0.3/1000*($U48-1000))),(a_RRC2*$U48^(-c_RRC))*(1-0.3)))),IF($U48&lt;1000,0,IF($U48&lt;=2000,(a_RRC*$U48^(-c_RRC))*(1-(0.3/1000*($U48-1000))),(a_RRC*$U48^(-c_RRC))*(1-0.3))))</f>
        <v>1.7055907878082319</v>
      </c>
      <c r="Z48" s="54">
        <v>350000</v>
      </c>
      <c r="AA48" s="52">
        <f>IF(OR(RoPax!$B$31="Phase 3*",RoPax!$B$31="Phase 2*",RoPax!$B$31="Phase 1*",RoPax!$B$31="Phase 0*"),IF($Z48&gt;=10000,a_RRP2*10000^(-c_RRP)*(1-0),IF($Z48&lt;250,0,IF($Z48&lt;=1000,(a_RRP2*$Z48^(-c_RRP))*(1-(0/750*($Z48-250))),(a_RRP2*$Z48^(-c_RRP))*(1-0)))),IF($Z48&lt;250,0,IF($Z48&lt;=1000,(a_RRP*$Z48^(-c_RRP))*(1-(0/750*($Z48-250))),(a_RRP*$Z48^(-c_RRP))*(1-0))))</f>
        <v>5.8079157648806818</v>
      </c>
      <c r="AB48" s="52">
        <f>IF(OR(RoPax!$B$31="Phase 3*",RoPax!$B$31="Phase 2*",RoPax!$B$31="Phase 1*",RoPax!$B$31="Phase 0*"),IF($Z48&gt;=10000,a_RRP2*10000^(-c_RRP)*(1-0.05),IF($Z48&lt;250,0,IF($Z48&lt;=1000,(a_RRP2*$Z48^(-c_RRP))*(1-(0.05/750*($Z48-250))),(a_RRP2*$Z48^(-c_RRP))*(1-0.05)))),IF($Z48&lt;250,0,IF($Z48&lt;=1000,(a_RRP*$Z48^(-c_RRP))*(1-(0.05/750*($Z48-250))),(a_RRP*$Z48^(-c_RRP))*(1-0.05))))</f>
        <v>5.5175199766366472</v>
      </c>
      <c r="AC48" s="52">
        <f>IF(OR(RoPax!$B$31="Phase 3*",RoPax!$B$31="Phase 2*",RoPax!$B$31="Phase 1*",RoPax!$B$31="Phase 0*"),IF($Z48&gt;=10000,a_RRP2*10000^(-c_RRP)*(1-0.2),IF($Z48&lt;250,0,IF($Z48&lt;=1000,(a_RRP2*$Z48^(-c_RRP))*(1-(0.2/750*($Z48-250))),(a_RRP2*$Z48^(-c_RRP))*(1-0.2)))),IF($Z48&lt;250,0,IF($Z48&lt;=1000,(a_RRP*$Z48^(-c_RRP))*(1-(0.2/750*($Z48-250))),(a_RRP*$Z48^(-c_RRP))*(1-0.2))))</f>
        <v>4.6463326119045458</v>
      </c>
      <c r="AD48" s="52">
        <f>IF(OR(RoPax!$B$31="Phase 3*",RoPax!$B$31="Phase 2*",RoPax!$B$31="Phase 1*",RoPax!$B$31="Phase 0*"),IF($Z48&gt;=10000,a_RRP2*10000^(-c_RRP)*(1-0.3),IF($Z48&lt;250,0,IF($Z48&lt;=1000,(a_RRP2*$Z48^(-c_RRP))*(1-(0.3/750*($Z48-250))),(a_RRP2*$Z48^(-c_RRP))*(1-0.3)))),IF($Z48&lt;250,0,IF($Z48&lt;=1000,(a_RRP*$Z48^(-c_RRP))*(1-(0.3/750*($Z48-250))),(a_RRP*$Z48^(-c_RRP))*(1-0.3))))</f>
        <v>4.0655410354164774</v>
      </c>
      <c r="AE48" s="54">
        <v>350000</v>
      </c>
      <c r="AF48" s="52">
        <f t="shared" si="21"/>
        <v>4.4366290101456434</v>
      </c>
      <c r="AG48" s="52">
        <f t="shared" si="22"/>
        <v>4.2147975596383613</v>
      </c>
      <c r="AH48" s="52">
        <f t="shared" si="23"/>
        <v>3.7711346586237968</v>
      </c>
      <c r="AI48" s="52">
        <f t="shared" si="36"/>
        <v>3.1056403071019503</v>
      </c>
      <c r="AJ48" s="54">
        <v>350000</v>
      </c>
      <c r="AK48" s="52">
        <f t="shared" si="25"/>
        <v>1.9100245578839885</v>
      </c>
      <c r="AL48" s="52">
        <f t="shared" si="26"/>
        <v>1.8145233299897889</v>
      </c>
      <c r="AM48" s="52">
        <f t="shared" si="27"/>
        <v>1.6235208742013902</v>
      </c>
      <c r="AN48" s="52">
        <f t="shared" si="37"/>
        <v>1.337017190518792</v>
      </c>
      <c r="AO48" s="54">
        <v>350000</v>
      </c>
      <c r="AP48" s="52">
        <f t="shared" si="29"/>
        <v>3.3198846509293016</v>
      </c>
      <c r="AQ48" s="52">
        <f t="shared" si="38"/>
        <v>2.9878961858363717</v>
      </c>
      <c r="AR48" s="52">
        <f t="shared" si="39"/>
        <v>2.6559077207434414</v>
      </c>
      <c r="AS48" s="52">
        <f t="shared" si="40"/>
        <v>2.3239192556505111</v>
      </c>
      <c r="AT48" s="54">
        <v>350000</v>
      </c>
      <c r="AU48" s="52">
        <f t="shared" si="4"/>
        <v>5.3089404225260157</v>
      </c>
      <c r="AV48" s="52">
        <f t="shared" si="41"/>
        <v>4.7780463802734143</v>
      </c>
      <c r="AW48" s="52">
        <f t="shared" si="42"/>
        <v>4.2471523380208129</v>
      </c>
      <c r="AX48" s="52">
        <f t="shared" si="43"/>
        <v>3.7162582957682107</v>
      </c>
    </row>
    <row r="49" spans="1:55" x14ac:dyDescent="0.2">
      <c r="A49" s="54"/>
      <c r="B49" s="52"/>
      <c r="C49" s="52"/>
      <c r="D49" s="52"/>
      <c r="E49" s="52"/>
      <c r="F49" s="54"/>
      <c r="G49" s="52"/>
      <c r="H49" s="52"/>
      <c r="I49" s="52"/>
      <c r="J49" s="52"/>
      <c r="K49" s="54"/>
      <c r="L49" s="52"/>
      <c r="M49" s="52"/>
      <c r="N49" s="52"/>
      <c r="O49" s="52"/>
      <c r="P49" s="54">
        <v>650000</v>
      </c>
      <c r="Q49" s="52">
        <f t="shared" si="0"/>
        <v>1.7751323044681333</v>
      </c>
      <c r="R49" s="52">
        <f t="shared" si="1"/>
        <v>1.5976190740213201</v>
      </c>
      <c r="S49" s="52">
        <f t="shared" si="2"/>
        <v>1.4201058435745066</v>
      </c>
      <c r="T49" s="52">
        <f t="shared" si="3"/>
        <v>1.2425926131276932</v>
      </c>
      <c r="U49" s="54">
        <v>400000</v>
      </c>
      <c r="V49" s="52">
        <f>IF(OR('RoRo Cargo'!$B$29="Phase 3*",'RoRo Cargo'!$B$29="Phase 2*",'RoRo Cargo'!$B$29="Phase 1*",'RoRo Cargo'!$B$29="Phase 0*"),IF($U49&gt;=17000,a_RRC2*17000^(-c_RRC)*(1-(0/1000*($U49-1000))),IF($U49&lt;1000,0,IF($U49&lt;=2000,(a_RRC2*$U49^(-c_RRC))*(1-(0/1000*($U49-1000))),(a_RRC2*$U49^(-c_RRC))*(1-0)))),IF($U49&lt;1000,0,IF($U49&lt;=2000,(a_RRC*$U49^(-c_RRC))*(1-(0/1000*($U49-1000))),(a_RRC*$U49^(-c_RRC))*(1-0))))</f>
        <v>2.2798003292525055</v>
      </c>
      <c r="W49" s="52">
        <f>IF(OR('RoRo Cargo'!$B$29="Phase 3*",'RoRo Cargo'!$B$29="Phase 2*",'RoRo Cargo'!$B$29="Phase 1*",'RoRo Cargo'!$B$29="Phase 0*"),IF($U49&gt;=17000,a_RRC2*17000^(-c_RRC)*(1-(0.05)),IF($U49&lt;1000,0,IF($U49&lt;=2000,(a_RRC2*$U49^(-c_RRC))*(1-(0.05/1000*($U49-1000))),(a_RRC2*$U49^(-c_RRC))*(1-0.05)))),IF($U49&lt;1000,0,IF($U49&lt;=2000,(a_RRC*$U49^(-c_RRC))*(1-(0.05/1000*($U49-1000))),(a_RRC*$U49^(-c_RRC))*(1-0.05))))</f>
        <v>2.1658103127898802</v>
      </c>
      <c r="X49" s="52">
        <f>IF(OR('RoRo Cargo'!$B$29="Phase 3*",'RoRo Cargo'!$B$29="Phase 2*",'RoRo Cargo'!$B$29="Phase 1*",'RoRo Cargo'!$B$29="Phase 0*"),IF($U49&gt;=17000,a_RRC2*17000^(-c_RRC)*(1-(0.2)),IF($U49&lt;1000,0,IF($U49&lt;=2000,(a_RRC2*$U49^(-c_RRC))*(1-(0.2/1000*($U49-1000))),(a_RRC2*$U49^(-c_RRC))*(1-0.2)))),IF($U49&lt;1000,0,IF($U49&lt;=2000,(a_RRC*$U49^(-c_RRC))*(1-(0.2/1000*($U49-1000))),(a_RRC*$U49^(-c_RRC))*(1-0.2))))</f>
        <v>1.8238402634020046</v>
      </c>
      <c r="Y49" s="52">
        <f>IF(OR('RoRo Cargo'!$B$29="Phase 3*",'RoRo Cargo'!$B$29="Phase 2*",'RoRo Cargo'!$B$29="Phase 1*",'RoRo Cargo'!$B$29="Phase 0*"),IF($U49&gt;=17000,a_RRC2*17000^(-c_RRC)*(1-(0.3)),IF($U49&lt;1000,0,IF($U49&lt;=2000,(a_RRC2*$U49^(-c_RRC))*(1-(0.3/1000*($U49-1000))),(a_RRC2*$U49^(-c_RRC))*(1-0.3)))),IF($U49&lt;1000,0,IF($U49&lt;=2000,(a_RRC*$U49^(-c_RRC))*(1-(0.3/1000*($U49-1000))),(a_RRC*$U49^(-c_RRC))*(1-0.3))))</f>
        <v>1.5958602304767537</v>
      </c>
      <c r="Z49" s="54">
        <v>400000</v>
      </c>
      <c r="AA49" s="52">
        <f>IF(OR(RoPax!$B$31="Phase 3*",RoPax!$B$31="Phase 2*",RoPax!$B$31="Phase 1*",RoPax!$B$31="Phase 0*"),IF($Z49&gt;=10000,a_RRP2*10000^(-c_RRP)*(1-0),IF($Z49&lt;250,0,IF($Z49&lt;=1000,(a_RRP2*$Z49^(-c_RRP))*(1-(0/750*($Z49-250))),(a_RRP2*$Z49^(-c_RRP))*(1-0)))),IF($Z49&lt;250,0,IF($Z49&lt;=1000,(a_RRP*$Z49^(-c_RRP))*(1-(0/750*($Z49-250))),(a_RRP*$Z49^(-c_RRP))*(1-0))))</f>
        <v>5.5198258646672915</v>
      </c>
      <c r="AB49" s="52">
        <f>IF(OR(RoPax!$B$31="Phase 3*",RoPax!$B$31="Phase 2*",RoPax!$B$31="Phase 1*",RoPax!$B$31="Phase 0*"),IF($Z49&gt;=10000,a_RRP2*10000^(-c_RRP)*(1-0.05),IF($Z49&lt;250,0,IF($Z49&lt;=1000,(a_RRP2*$Z49^(-c_RRP))*(1-(0.05/750*($Z49-250))),(a_RRP2*$Z49^(-c_RRP))*(1-0.05)))),IF($Z49&lt;250,0,IF($Z49&lt;=1000,(a_RRP*$Z49^(-c_RRP))*(1-(0.05/750*($Z49-250))),(a_RRP*$Z49^(-c_RRP))*(1-0.05))))</f>
        <v>5.2438345714339265</v>
      </c>
      <c r="AC49" s="52">
        <f>IF(OR(RoPax!$B$31="Phase 3*",RoPax!$B$31="Phase 2*",RoPax!$B$31="Phase 1*",RoPax!$B$31="Phase 0*"),IF($Z49&gt;=10000,a_RRP2*10000^(-c_RRP)*(1-0.2),IF($Z49&lt;250,0,IF($Z49&lt;=1000,(a_RRP2*$Z49^(-c_RRP))*(1-(0.2/750*($Z49-250))),(a_RRP2*$Z49^(-c_RRP))*(1-0.2)))),IF($Z49&lt;250,0,IF($Z49&lt;=1000,(a_RRP*$Z49^(-c_RRP))*(1-(0.2/750*($Z49-250))),(a_RRP*$Z49^(-c_RRP))*(1-0.2))))</f>
        <v>4.4158606917338332</v>
      </c>
      <c r="AD49" s="52">
        <f>IF(OR(RoPax!$B$31="Phase 3*",RoPax!$B$31="Phase 2*",RoPax!$B$31="Phase 1*",RoPax!$B$31="Phase 0*"),IF($Z49&gt;=10000,a_RRP2*10000^(-c_RRP)*(1-0.3),IF($Z49&lt;250,0,IF($Z49&lt;=1000,(a_RRP2*$Z49^(-c_RRP))*(1-(0.3/750*($Z49-250))),(a_RRP2*$Z49^(-c_RRP))*(1-0.3)))),IF($Z49&lt;250,0,IF($Z49&lt;=1000,(a_RRP*$Z49^(-c_RRP))*(1-(0.3/750*($Z49-250))),(a_RRP*$Z49^(-c_RRP))*(1-0.3))))</f>
        <v>3.8638781052671036</v>
      </c>
      <c r="AE49" s="54">
        <v>400000</v>
      </c>
      <c r="AF49" s="52">
        <f t="shared" si="21"/>
        <v>4.1661884214738016</v>
      </c>
      <c r="AG49" s="52">
        <f t="shared" si="22"/>
        <v>3.9578790004001112</v>
      </c>
      <c r="AH49" s="52">
        <f t="shared" si="23"/>
        <v>3.5412601582527312</v>
      </c>
      <c r="AI49" s="52">
        <f t="shared" si="36"/>
        <v>2.9163318950316608</v>
      </c>
      <c r="AJ49" s="54">
        <v>400000</v>
      </c>
      <c r="AK49" s="52">
        <f t="shared" si="25"/>
        <v>1.7935964849866193</v>
      </c>
      <c r="AL49" s="52">
        <f t="shared" si="26"/>
        <v>1.7039166607372882</v>
      </c>
      <c r="AM49" s="52">
        <f t="shared" si="27"/>
        <v>1.5245570122386263</v>
      </c>
      <c r="AN49" s="52">
        <f t="shared" si="37"/>
        <v>1.2555175394906335</v>
      </c>
      <c r="AO49" s="54">
        <v>400000</v>
      </c>
      <c r="AP49" s="52">
        <f t="shared" si="29"/>
        <v>3.123767244475256</v>
      </c>
      <c r="AQ49" s="52">
        <f t="shared" si="38"/>
        <v>2.8113905200277305</v>
      </c>
      <c r="AR49" s="52">
        <f t="shared" si="39"/>
        <v>2.499013795580205</v>
      </c>
      <c r="AS49" s="52">
        <f t="shared" si="40"/>
        <v>2.186637071132679</v>
      </c>
      <c r="AT49" s="54">
        <v>400000</v>
      </c>
      <c r="AU49" s="52">
        <f t="shared" si="4"/>
        <v>4.9833302451093928</v>
      </c>
      <c r="AV49" s="52">
        <f t="shared" si="41"/>
        <v>4.4849972205984541</v>
      </c>
      <c r="AW49" s="52">
        <f t="shared" si="42"/>
        <v>3.9866641960875144</v>
      </c>
      <c r="AX49" s="52">
        <f t="shared" si="43"/>
        <v>3.4883311715765748</v>
      </c>
    </row>
    <row r="50" spans="1:55" x14ac:dyDescent="0.2">
      <c r="A50" s="54"/>
      <c r="B50" s="52"/>
      <c r="C50" s="52"/>
      <c r="D50" s="52"/>
      <c r="E50" s="52"/>
      <c r="F50" s="54"/>
      <c r="G50" s="52"/>
      <c r="H50" s="52"/>
      <c r="I50" s="52"/>
      <c r="J50" s="52"/>
      <c r="K50" s="54"/>
      <c r="L50" s="52"/>
      <c r="M50" s="52"/>
      <c r="N50" s="52"/>
      <c r="O50" s="52"/>
      <c r="P50" s="54">
        <v>700000</v>
      </c>
      <c r="Q50" s="52">
        <f t="shared" si="0"/>
        <v>1.7120821604192009</v>
      </c>
      <c r="R50" s="52">
        <f t="shared" si="1"/>
        <v>1.5408739443772808</v>
      </c>
      <c r="S50" s="52">
        <f t="shared" si="2"/>
        <v>1.3696657283353608</v>
      </c>
      <c r="T50" s="52">
        <f t="shared" si="3"/>
        <v>1.1984575122934407</v>
      </c>
      <c r="U50" s="54">
        <v>450000</v>
      </c>
      <c r="V50" s="52">
        <f>IF(OR('RoRo Cargo'!$B$29="Phase 3*",'RoRo Cargo'!$B$29="Phase 2*",'RoRo Cargo'!$B$29="Phase 1*",'RoRo Cargo'!$B$29="Phase 0*"),IF($U50&gt;=17000,a_RRC2*17000^(-c_RRC)*(1-(0/1000*($U50-1000))),IF($U50&lt;1000,0,IF($U50&lt;=2000,(a_RRC2*$U50^(-c_RRC))*(1-(0/1000*($U50-1000))),(a_RRC2*$U50^(-c_RRC))*(1-0)))),IF($U50&lt;1000,0,IF($U50&lt;=2000,(a_RRC*$U50^(-c_RRC))*(1-(0/1000*($U50-1000))),(a_RRC*$U50^(-c_RRC))*(1-0))))</f>
        <v>2.1499227526310896</v>
      </c>
      <c r="W50" s="52">
        <f>IF(OR('RoRo Cargo'!$B$29="Phase 3*",'RoRo Cargo'!$B$29="Phase 2*",'RoRo Cargo'!$B$29="Phase 1*",'RoRo Cargo'!$B$29="Phase 0*"),IF($U50&gt;=17000,a_RRC2*17000^(-c_RRC)*(1-(0.05)),IF($U50&lt;1000,0,IF($U50&lt;=2000,(a_RRC2*$U50^(-c_RRC))*(1-(0.05/1000*($U50-1000))),(a_RRC2*$U50^(-c_RRC))*(1-0.05)))),IF($U50&lt;1000,0,IF($U50&lt;=2000,(a_RRC*$U50^(-c_RRC))*(1-(0.05/1000*($U50-1000))),(a_RRC*$U50^(-c_RRC))*(1-0.05))))</f>
        <v>2.0424266149995352</v>
      </c>
      <c r="X50" s="52">
        <f>IF(OR('RoRo Cargo'!$B$29="Phase 3*",'RoRo Cargo'!$B$29="Phase 2*",'RoRo Cargo'!$B$29="Phase 1*",'RoRo Cargo'!$B$29="Phase 0*"),IF($U50&gt;=17000,a_RRC2*17000^(-c_RRC)*(1-(0.2)),IF($U50&lt;1000,0,IF($U50&lt;=2000,(a_RRC2*$U50^(-c_RRC))*(1-(0.2/1000*($U50-1000))),(a_RRC2*$U50^(-c_RRC))*(1-0.2)))),IF($U50&lt;1000,0,IF($U50&lt;=2000,(a_RRC*$U50^(-c_RRC))*(1-(0.2/1000*($U50-1000))),(a_RRC*$U50^(-c_RRC))*(1-0.2))))</f>
        <v>1.7199382021048717</v>
      </c>
      <c r="Y50" s="52">
        <f>IF(OR('RoRo Cargo'!$B$29="Phase 3*",'RoRo Cargo'!$B$29="Phase 2*",'RoRo Cargo'!$B$29="Phase 1*",'RoRo Cargo'!$B$29="Phase 0*"),IF($U50&gt;=17000,a_RRC2*17000^(-c_RRC)*(1-(0.3)),IF($U50&lt;1000,0,IF($U50&lt;=2000,(a_RRC2*$U50^(-c_RRC))*(1-(0.3/1000*($U50-1000))),(a_RRC2*$U50^(-c_RRC))*(1-0.3)))),IF($U50&lt;1000,0,IF($U50&lt;=2000,(a_RRC*$U50^(-c_RRC))*(1-(0.3/1000*($U50-1000))),(a_RRC*$U50^(-c_RRC))*(1-0.3))))</f>
        <v>1.5049459268417626</v>
      </c>
      <c r="Z50" s="54">
        <v>450000</v>
      </c>
      <c r="AA50" s="52">
        <f>IF(OR(RoPax!$B$31="Phase 3*",RoPax!$B$31="Phase 2*",RoPax!$B$31="Phase 1*",RoPax!$B$31="Phase 0*"),IF($Z50&gt;=10000,a_RRP2*10000^(-c_RRP)*(1-0),IF($Z50&lt;250,0,IF($Z50&lt;=1000,(a_RRP2*$Z50^(-c_RRP))*(1-(0/750*($Z50-250))),(a_RRP2*$Z50^(-c_RRP))*(1-0)))),IF($Z50&lt;250,0,IF($Z50&lt;=1000,(a_RRP*$Z50^(-c_RRP))*(1-(0/750*($Z50-250))),(a_RRP*$Z50^(-c_RRP))*(1-0))))</f>
        <v>5.2775975090994072</v>
      </c>
      <c r="AB50" s="52">
        <f>IF(OR(RoPax!$B$31="Phase 3*",RoPax!$B$31="Phase 2*",RoPax!$B$31="Phase 1*",RoPax!$B$31="Phase 0*"),IF($Z50&gt;=10000,a_RRP2*10000^(-c_RRP)*(1-0.05),IF($Z50&lt;250,0,IF($Z50&lt;=1000,(a_RRP2*$Z50^(-c_RRP))*(1-(0.05/750*($Z50-250))),(a_RRP2*$Z50^(-c_RRP))*(1-0.05)))),IF($Z50&lt;250,0,IF($Z50&lt;=1000,(a_RRP*$Z50^(-c_RRP))*(1-(0.05/750*($Z50-250))),(a_RRP*$Z50^(-c_RRP))*(1-0.05))))</f>
        <v>5.0137176336444362</v>
      </c>
      <c r="AC50" s="52">
        <f>IF(OR(RoPax!$B$31="Phase 3*",RoPax!$B$31="Phase 2*",RoPax!$B$31="Phase 1*",RoPax!$B$31="Phase 0*"),IF($Z50&gt;=10000,a_RRP2*10000^(-c_RRP)*(1-0.2),IF($Z50&lt;250,0,IF($Z50&lt;=1000,(a_RRP2*$Z50^(-c_RRP))*(1-(0.2/750*($Z50-250))),(a_RRP2*$Z50^(-c_RRP))*(1-0.2)))),IF($Z50&lt;250,0,IF($Z50&lt;=1000,(a_RRP*$Z50^(-c_RRP))*(1-(0.2/750*($Z50-250))),(a_RRP*$Z50^(-c_RRP))*(1-0.2))))</f>
        <v>4.2220780072795261</v>
      </c>
      <c r="AD50" s="52">
        <f>IF(OR(RoPax!$B$31="Phase 3*",RoPax!$B$31="Phase 2*",RoPax!$B$31="Phase 1*",RoPax!$B$31="Phase 0*"),IF($Z50&gt;=10000,a_RRP2*10000^(-c_RRP)*(1-0.3),IF($Z50&lt;250,0,IF($Z50&lt;=1000,(a_RRP2*$Z50^(-c_RRP))*(1-(0.3/750*($Z50-250))),(a_RRP2*$Z50^(-c_RRP))*(1-0.3)))),IF($Z50&lt;250,0,IF($Z50&lt;=1000,(a_RRP*$Z50^(-c_RRP))*(1-(0.3/750*($Z50-250))),(a_RRP*$Z50^(-c_RRP))*(1-0.3))))</f>
        <v>3.6943182563695847</v>
      </c>
      <c r="AE50" s="54">
        <v>450000</v>
      </c>
      <c r="AF50" s="52">
        <f t="shared" si="21"/>
        <v>3.9413596807395788</v>
      </c>
      <c r="AG50" s="52">
        <f t="shared" si="22"/>
        <v>3.7442916967025996</v>
      </c>
      <c r="AH50" s="52">
        <f t="shared" si="23"/>
        <v>3.3501557286286419</v>
      </c>
      <c r="AI50" s="52">
        <f t="shared" si="36"/>
        <v>2.758951776517705</v>
      </c>
      <c r="AJ50" s="54">
        <v>450000</v>
      </c>
      <c r="AK50" s="52">
        <f t="shared" si="25"/>
        <v>1.6968048859733853</v>
      </c>
      <c r="AL50" s="52">
        <f t="shared" si="26"/>
        <v>1.611964641674716</v>
      </c>
      <c r="AM50" s="52">
        <f t="shared" si="27"/>
        <v>1.4422841530773776</v>
      </c>
      <c r="AN50" s="52">
        <f t="shared" si="37"/>
        <v>1.1877634201813696</v>
      </c>
      <c r="AO50" s="54">
        <v>450000</v>
      </c>
      <c r="AP50" s="52">
        <f t="shared" si="29"/>
        <v>2.9604185469391129</v>
      </c>
      <c r="AQ50" s="52">
        <f t="shared" si="38"/>
        <v>2.6643766922452015</v>
      </c>
      <c r="AR50" s="52">
        <f t="shared" si="39"/>
        <v>2.3683348375512905</v>
      </c>
      <c r="AS50" s="52">
        <f t="shared" si="40"/>
        <v>2.0722929828573791</v>
      </c>
      <c r="AT50" s="54">
        <v>450000</v>
      </c>
      <c r="AU50" s="52">
        <f t="shared" si="4"/>
        <v>4.7127388345277215</v>
      </c>
      <c r="AV50" s="52">
        <f t="shared" si="41"/>
        <v>4.2414649510749491</v>
      </c>
      <c r="AW50" s="52">
        <f t="shared" si="42"/>
        <v>3.7701910676221773</v>
      </c>
      <c r="AX50" s="52">
        <f t="shared" si="43"/>
        <v>3.2989171841694049</v>
      </c>
    </row>
    <row r="51" spans="1:55" x14ac:dyDescent="0.2">
      <c r="A51" s="54"/>
      <c r="B51" s="52"/>
      <c r="C51" s="52"/>
      <c r="D51" s="52"/>
      <c r="E51" s="52"/>
      <c r="F51" s="54"/>
      <c r="G51" s="52"/>
      <c r="H51" s="52"/>
      <c r="I51" s="52"/>
      <c r="J51" s="52"/>
      <c r="K51" s="54"/>
      <c r="L51" s="52"/>
      <c r="M51" s="52"/>
      <c r="N51" s="52"/>
      <c r="O51" s="52"/>
      <c r="P51" s="54">
        <v>750000</v>
      </c>
      <c r="Q51" s="52">
        <f t="shared" si="0"/>
        <v>1.6553984682794478</v>
      </c>
      <c r="R51" s="52">
        <f t="shared" si="1"/>
        <v>1.4898586214515031</v>
      </c>
      <c r="S51" s="52">
        <f t="shared" si="2"/>
        <v>1.3243187746235583</v>
      </c>
      <c r="T51" s="52">
        <f t="shared" si="3"/>
        <v>1.1587789277956133</v>
      </c>
      <c r="U51" s="54">
        <v>500000</v>
      </c>
      <c r="V51" s="52">
        <f>IF(OR('RoRo Cargo'!$B$29="Phase 3*",'RoRo Cargo'!$B$29="Phase 2*",'RoRo Cargo'!$B$29="Phase 1*",'RoRo Cargo'!$B$29="Phase 0*"),IF($U51&gt;=17000,a_RRC2*17000^(-c_RRC)*(1-(0/1000*($U51-1000))),IF($U51&lt;1000,0,IF($U51&lt;=2000,(a_RRC2*$U51^(-c_RRC))*(1-(0/1000*($U51-1000))),(a_RRC2*$U51^(-c_RRC))*(1-0)))),IF($U51&lt;1000,0,IF($U51&lt;=2000,(a_RRC*$U51^(-c_RRC))*(1-(0/1000*($U51-1000))),(a_RRC*$U51^(-c_RRC))*(1-0))))</f>
        <v>2.0400256385375566</v>
      </c>
      <c r="W51" s="52">
        <f>IF(OR('RoRo Cargo'!$B$29="Phase 3*",'RoRo Cargo'!$B$29="Phase 2*",'RoRo Cargo'!$B$29="Phase 1*",'RoRo Cargo'!$B$29="Phase 0*"),IF($U51&gt;=17000,a_RRC2*17000^(-c_RRC)*(1-(0.05)),IF($U51&lt;1000,0,IF($U51&lt;=2000,(a_RRC2*$U51^(-c_RRC))*(1-(0.05/1000*($U51-1000))),(a_RRC2*$U51^(-c_RRC))*(1-0.05)))),IF($U51&lt;1000,0,IF($U51&lt;=2000,(a_RRC*$U51^(-c_RRC))*(1-(0.05/1000*($U51-1000))),(a_RRC*$U51^(-c_RRC))*(1-0.05))))</f>
        <v>1.9380243566106787</v>
      </c>
      <c r="X51" s="52">
        <f>IF(OR('RoRo Cargo'!$B$29="Phase 3*",'RoRo Cargo'!$B$29="Phase 2*",'RoRo Cargo'!$B$29="Phase 1*",'RoRo Cargo'!$B$29="Phase 0*"),IF($U51&gt;=17000,a_RRC2*17000^(-c_RRC)*(1-(0.2)),IF($U51&lt;1000,0,IF($U51&lt;=2000,(a_RRC2*$U51^(-c_RRC))*(1-(0.2/1000*($U51-1000))),(a_RRC2*$U51^(-c_RRC))*(1-0.2)))),IF($U51&lt;1000,0,IF($U51&lt;=2000,(a_RRC*$U51^(-c_RRC))*(1-(0.2/1000*($U51-1000))),(a_RRC*$U51^(-c_RRC))*(1-0.2))))</f>
        <v>1.6320205108300454</v>
      </c>
      <c r="Y51" s="52">
        <f>IF(OR('RoRo Cargo'!$B$29="Phase 3*",'RoRo Cargo'!$B$29="Phase 2*",'RoRo Cargo'!$B$29="Phase 1*",'RoRo Cargo'!$B$29="Phase 0*"),IF($U51&gt;=17000,a_RRC2*17000^(-c_RRC)*(1-(0.3)),IF($U51&lt;1000,0,IF($U51&lt;=2000,(a_RRC2*$U51^(-c_RRC))*(1-(0.3/1000*($U51-1000))),(a_RRC2*$U51^(-c_RRC))*(1-0.3)))),IF($U51&lt;1000,0,IF($U51&lt;=2000,(a_RRC*$U51^(-c_RRC))*(1-(0.3/1000*($U51-1000))),(a_RRC*$U51^(-c_RRC))*(1-0.3))))</f>
        <v>1.4280179469762895</v>
      </c>
      <c r="Z51" s="54">
        <v>500000</v>
      </c>
      <c r="AA51" s="52">
        <f>IF(OR(RoPax!$B$31="Phase 3*",RoPax!$B$31="Phase 2*",RoPax!$B$31="Phase 1*",RoPax!$B$31="Phase 0*"),IF($Z51&gt;=10000,a_RRP2*10000^(-c_RRP)*(1-0),IF($Z51&lt;250,0,IF($Z51&lt;=1000,(a_RRP2*$Z51^(-c_RRP))*(1-(0/750*($Z51-250))),(a_RRP2*$Z51^(-c_RRP))*(1-0)))),IF($Z51&lt;250,0,IF($Z51&lt;=1000,(a_RRP*$Z51^(-c_RRP))*(1-(0/750*($Z51-250))),(a_RRP*$Z51^(-c_RRP))*(1-0))))</f>
        <v>5.0699381609872463</v>
      </c>
      <c r="AB51" s="52">
        <f>IF(OR(RoPax!$B$31="Phase 3*",RoPax!$B$31="Phase 2*",RoPax!$B$31="Phase 1*",RoPax!$B$31="Phase 0*"),IF($Z51&gt;=10000,a_RRP2*10000^(-c_RRP)*(1-0.05),IF($Z51&lt;250,0,IF($Z51&lt;=1000,(a_RRP2*$Z51^(-c_RRP))*(1-(0.05/750*($Z51-250))),(a_RRP2*$Z51^(-c_RRP))*(1-0.05)))),IF($Z51&lt;250,0,IF($Z51&lt;=1000,(a_RRP*$Z51^(-c_RRP))*(1-(0.05/750*($Z51-250))),(a_RRP*$Z51^(-c_RRP))*(1-0.05))))</f>
        <v>4.8164412529378833</v>
      </c>
      <c r="AC51" s="52">
        <f>IF(OR(RoPax!$B$31="Phase 3*",RoPax!$B$31="Phase 2*",RoPax!$B$31="Phase 1*",RoPax!$B$31="Phase 0*"),IF($Z51&gt;=10000,a_RRP2*10000^(-c_RRP)*(1-0.2),IF($Z51&lt;250,0,IF($Z51&lt;=1000,(a_RRP2*$Z51^(-c_RRP))*(1-(0.2/750*($Z51-250))),(a_RRP2*$Z51^(-c_RRP))*(1-0.2)))),IF($Z51&lt;250,0,IF($Z51&lt;=1000,(a_RRP*$Z51^(-c_RRP))*(1-(0.2/750*($Z51-250))),(a_RRP*$Z51^(-c_RRP))*(1-0.2))))</f>
        <v>4.055950528789797</v>
      </c>
      <c r="AD51" s="52">
        <f>IF(OR(RoPax!$B$31="Phase 3*",RoPax!$B$31="Phase 2*",RoPax!$B$31="Phase 1*",RoPax!$B$31="Phase 0*"),IF($Z51&gt;=10000,a_RRP2*10000^(-c_RRP)*(1-0.3),IF($Z51&lt;250,0,IF($Z51&lt;=1000,(a_RRP2*$Z51^(-c_RRP))*(1-(0.3/750*($Z51-250))),(a_RRP2*$Z51^(-c_RRP))*(1-0.3)))),IF($Z51&lt;250,0,IF($Z51&lt;=1000,(a_RRP*$Z51^(-c_RRP))*(1-(0.3/750*($Z51-250))),(a_RRP*$Z51^(-c_RRP))*(1-0.3))))</f>
        <v>3.5489567126910719</v>
      </c>
      <c r="AE51" s="54">
        <v>500000</v>
      </c>
      <c r="AF51" s="52">
        <f t="shared" si="21"/>
        <v>3.7505442303187961</v>
      </c>
      <c r="AG51" s="52">
        <f t="shared" si="22"/>
        <v>3.563017018802856</v>
      </c>
      <c r="AH51" s="52">
        <f t="shared" si="23"/>
        <v>3.1879625957709767</v>
      </c>
      <c r="AI51" s="52">
        <f t="shared" si="36"/>
        <v>2.6253809612231573</v>
      </c>
      <c r="AJ51" s="54">
        <v>500000</v>
      </c>
      <c r="AK51" s="52">
        <f t="shared" si="25"/>
        <v>1.6146564359916671</v>
      </c>
      <c r="AL51" s="52">
        <f t="shared" si="26"/>
        <v>1.5339236141920836</v>
      </c>
      <c r="AM51" s="52">
        <f t="shared" si="27"/>
        <v>1.372457970592917</v>
      </c>
      <c r="AN51" s="52">
        <f t="shared" si="37"/>
        <v>1.1302595051941668</v>
      </c>
      <c r="AO51" s="54">
        <v>500000</v>
      </c>
      <c r="AP51" s="52">
        <f t="shared" si="29"/>
        <v>2.8215496751052296</v>
      </c>
      <c r="AQ51" s="52">
        <f t="shared" si="38"/>
        <v>2.5393947075947065</v>
      </c>
      <c r="AR51" s="52">
        <f t="shared" si="39"/>
        <v>2.2572397400841839</v>
      </c>
      <c r="AS51" s="52">
        <f t="shared" si="40"/>
        <v>1.9750847725736607</v>
      </c>
      <c r="AT51" s="54">
        <v>500000</v>
      </c>
      <c r="AU51" s="52">
        <f t="shared" si="4"/>
        <v>4.4831608662033107</v>
      </c>
      <c r="AV51" s="52">
        <f t="shared" si="41"/>
        <v>4.03484477958298</v>
      </c>
      <c r="AW51" s="52">
        <f t="shared" si="42"/>
        <v>3.5865286929626485</v>
      </c>
      <c r="AX51" s="52">
        <f t="shared" si="43"/>
        <v>3.1382126063423175</v>
      </c>
    </row>
    <row r="52" spans="1:55" x14ac:dyDescent="0.2">
      <c r="A52" s="3"/>
      <c r="B52" s="20"/>
      <c r="C52" s="20"/>
      <c r="D52" s="20"/>
      <c r="E52" s="20"/>
      <c r="F52" s="3"/>
      <c r="G52" s="20"/>
      <c r="H52" s="20"/>
      <c r="I52" s="20"/>
      <c r="J52" s="20"/>
      <c r="K52" s="3"/>
      <c r="L52" s="20"/>
      <c r="M52" s="20"/>
      <c r="N52" s="20"/>
      <c r="O52" s="20"/>
      <c r="P52" s="3"/>
      <c r="Q52" s="20"/>
      <c r="R52" s="20"/>
      <c r="S52" s="20"/>
      <c r="T52" s="20"/>
      <c r="U52" s="3"/>
      <c r="V52" s="20"/>
      <c r="W52" s="20"/>
      <c r="X52" s="20"/>
      <c r="Y52" s="20"/>
      <c r="Z52" s="3"/>
      <c r="AA52" s="20"/>
      <c r="AB52" s="20"/>
      <c r="AC52" s="20"/>
      <c r="AD52" s="20"/>
      <c r="AE52" s="3"/>
      <c r="AF52" s="20"/>
      <c r="AG52" s="20"/>
      <c r="AH52" s="20"/>
      <c r="AI52" s="20"/>
      <c r="AJ52" s="3"/>
      <c r="AK52" s="20"/>
      <c r="AL52" s="20"/>
      <c r="AM52" s="20"/>
      <c r="AN52" s="20"/>
      <c r="AO52" s="3"/>
      <c r="AP52" s="20"/>
      <c r="AQ52" s="20"/>
      <c r="AR52" s="20"/>
      <c r="AS52" s="20"/>
      <c r="AT52" s="3"/>
      <c r="AU52" s="20"/>
      <c r="AV52" s="20"/>
      <c r="AW52" s="20"/>
      <c r="AX52" s="20"/>
      <c r="AY52" s="3"/>
      <c r="AZ52" s="20"/>
      <c r="BA52" s="20"/>
      <c r="BB52" s="20"/>
      <c r="BC52" s="20"/>
    </row>
    <row r="53" spans="1:55" x14ac:dyDescent="0.2">
      <c r="A53" s="3"/>
      <c r="B53" s="20"/>
      <c r="C53" s="20"/>
      <c r="D53" s="20"/>
      <c r="E53" s="20"/>
      <c r="F53" s="3"/>
      <c r="G53" s="20"/>
      <c r="H53" s="20"/>
      <c r="I53" s="20"/>
      <c r="J53" s="20"/>
      <c r="K53" s="3"/>
      <c r="L53" s="20"/>
      <c r="M53" s="20"/>
      <c r="N53" s="20"/>
      <c r="O53" s="20"/>
      <c r="P53" s="3"/>
      <c r="Q53" s="20"/>
      <c r="R53" s="20"/>
      <c r="S53" s="20"/>
      <c r="T53" s="20"/>
      <c r="U53" s="3"/>
      <c r="V53" s="20"/>
      <c r="W53" s="20"/>
      <c r="X53" s="20"/>
      <c r="Y53" s="20"/>
      <c r="Z53" s="3"/>
      <c r="AA53" s="20"/>
      <c r="AB53" s="20"/>
      <c r="AC53" s="20"/>
      <c r="AD53" s="20"/>
      <c r="AE53" s="3"/>
      <c r="AF53" s="20"/>
      <c r="AG53" s="20"/>
      <c r="AH53" s="20"/>
      <c r="AI53" s="20"/>
      <c r="AJ53" s="3"/>
      <c r="AK53" s="20"/>
      <c r="AL53" s="20"/>
      <c r="AM53" s="20"/>
      <c r="AN53" s="20"/>
      <c r="AO53" s="3"/>
      <c r="AP53" s="20"/>
      <c r="AQ53" s="20"/>
      <c r="AR53" s="20"/>
      <c r="AS53" s="20"/>
      <c r="AT53" s="3"/>
      <c r="AU53" s="20"/>
      <c r="AV53" s="20"/>
      <c r="AW53" s="20"/>
      <c r="AX53" s="20"/>
      <c r="AY53" s="3"/>
      <c r="AZ53" s="20"/>
      <c r="BA53" s="20"/>
      <c r="BB53" s="20"/>
      <c r="BC53" s="20"/>
    </row>
    <row r="54" spans="1:55" x14ac:dyDescent="0.2">
      <c r="A54" s="3"/>
      <c r="B54" s="20"/>
      <c r="C54" s="20"/>
      <c r="D54" s="20"/>
      <c r="E54" s="20"/>
      <c r="F54" s="3"/>
      <c r="G54" s="20"/>
      <c r="H54" s="20"/>
      <c r="I54" s="20"/>
      <c r="J54" s="20"/>
      <c r="K54" s="3"/>
      <c r="L54" s="20"/>
      <c r="M54" s="20"/>
      <c r="N54" s="20"/>
      <c r="O54" s="20"/>
      <c r="P54" s="3"/>
      <c r="Q54" s="20"/>
      <c r="R54" s="20"/>
      <c r="S54" s="20"/>
      <c r="T54" s="20"/>
      <c r="U54" s="3"/>
      <c r="V54" s="20"/>
      <c r="W54" s="20"/>
      <c r="X54" s="20"/>
      <c r="Y54" s="20"/>
      <c r="Z54" s="3"/>
      <c r="AA54" s="20"/>
      <c r="AB54" s="20"/>
      <c r="AC54" s="20"/>
      <c r="AD54" s="20"/>
      <c r="AE54" s="3"/>
      <c r="AF54" s="20"/>
      <c r="AG54" s="20"/>
      <c r="AH54" s="20"/>
      <c r="AI54" s="20"/>
      <c r="AJ54" s="3"/>
      <c r="AK54" s="20"/>
      <c r="AL54" s="20"/>
      <c r="AM54" s="20"/>
      <c r="AN54" s="20"/>
      <c r="AO54" s="3"/>
      <c r="AP54" s="20"/>
      <c r="AQ54" s="20"/>
      <c r="AR54" s="20"/>
      <c r="AS54" s="20"/>
      <c r="AT54" s="3"/>
      <c r="AU54" s="20"/>
      <c r="AV54" s="20"/>
      <c r="AW54" s="20"/>
      <c r="AX54" s="20"/>
      <c r="AY54" s="3"/>
      <c r="AZ54" s="20"/>
      <c r="BA54" s="20"/>
      <c r="BB54" s="20"/>
      <c r="BC54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6384" width="9.140625" style="123"/>
  </cols>
  <sheetData>
    <row r="1" spans="1:2" x14ac:dyDescent="0.2">
      <c r="A1" s="124" t="s">
        <v>120</v>
      </c>
      <c r="B1" s="124" t="s">
        <v>120</v>
      </c>
    </row>
    <row r="2" spans="1:2" x14ac:dyDescent="0.2">
      <c r="A2" s="124" t="s">
        <v>121</v>
      </c>
      <c r="B2" s="124" t="s">
        <v>121</v>
      </c>
    </row>
    <row r="3" spans="1:2" x14ac:dyDescent="0.2">
      <c r="A3" s="124" t="s">
        <v>122</v>
      </c>
      <c r="B3" s="124" t="s">
        <v>122</v>
      </c>
    </row>
    <row r="4" spans="1:2" x14ac:dyDescent="0.2">
      <c r="A4" s="124" t="s">
        <v>123</v>
      </c>
      <c r="B4" s="124" t="s">
        <v>123</v>
      </c>
    </row>
    <row r="5" spans="1:2" x14ac:dyDescent="0.2">
      <c r="A5" s="124"/>
      <c r="B5" s="124" t="s">
        <v>124</v>
      </c>
    </row>
    <row r="6" spans="1:2" x14ac:dyDescent="0.2">
      <c r="A6" s="124"/>
      <c r="B6" s="124" t="s">
        <v>125</v>
      </c>
    </row>
    <row r="7" spans="1:2" x14ac:dyDescent="0.2">
      <c r="B7" s="124" t="s">
        <v>126</v>
      </c>
    </row>
    <row r="8" spans="1:2" x14ac:dyDescent="0.2">
      <c r="B8" s="12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29</vt:i4>
      </vt:variant>
    </vt:vector>
  </HeadingPairs>
  <TitlesOfParts>
    <vt:vector size="37" baseType="lpstr">
      <vt:lpstr>LNG Carriers</vt:lpstr>
      <vt:lpstr>Tankers</vt:lpstr>
      <vt:lpstr>Refers</vt:lpstr>
      <vt:lpstr>RoRo Cargo</vt:lpstr>
      <vt:lpstr>RoPax</vt:lpstr>
      <vt:lpstr>Vehicle Carriers</vt:lpstr>
      <vt:lpstr>Baselines</vt:lpstr>
      <vt:lpstr>Data</vt:lpstr>
      <vt:lpstr>a_BC</vt:lpstr>
      <vt:lpstr>a_CS</vt:lpstr>
      <vt:lpstr>a_GC</vt:lpstr>
      <vt:lpstr>a_GT</vt:lpstr>
      <vt:lpstr>a_LNG</vt:lpstr>
      <vt:lpstr>a_RFS</vt:lpstr>
      <vt:lpstr>a_RRC</vt:lpstr>
      <vt:lpstr>a_RRC2</vt:lpstr>
      <vt:lpstr>a_RRP</vt:lpstr>
      <vt:lpstr>a_RRP2</vt:lpstr>
      <vt:lpstr>a_RRV1</vt:lpstr>
      <vt:lpstr>a_RRV2</vt:lpstr>
      <vt:lpstr>a_T</vt:lpstr>
      <vt:lpstr>c_BC</vt:lpstr>
      <vt:lpstr>c_CS</vt:lpstr>
      <vt:lpstr>c_GC</vt:lpstr>
      <vt:lpstr>c_GT</vt:lpstr>
      <vt:lpstr>c_LNG</vt:lpstr>
      <vt:lpstr>c_RFS</vt:lpstr>
      <vt:lpstr>c_RRC</vt:lpstr>
      <vt:lpstr>c_RRP</vt:lpstr>
      <vt:lpstr>c_RRV</vt:lpstr>
      <vt:lpstr>c_T</vt:lpstr>
      <vt:lpstr>'LNG Carriers'!Utskriftsrubriker</vt:lpstr>
      <vt:lpstr>Refers!Utskriftsrubriker</vt:lpstr>
      <vt:lpstr>RoPax!Utskriftsrubriker</vt:lpstr>
      <vt:lpstr>'RoRo Cargo'!Utskriftsrubriker</vt:lpstr>
      <vt:lpstr>Tankers!Utskriftsrubriker</vt:lpstr>
      <vt:lpstr>'Vehicle Carriers'!Utskriftsrubriker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2010-05-20T09:34:30Z</dcterms:created>
  <dcterms:modified xsi:type="dcterms:W3CDTF">2017-12-12T14:14:16Z</dcterms:modified>
</cp:coreProperties>
</file>